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vdstoel/Library/Mobile Documents/com~apple~CloudDocs/Johan/blog/"/>
    </mc:Choice>
  </mc:AlternateContent>
  <xr:revisionPtr revIDLastSave="0" documentId="13_ncr:1_{4B8A5E99-4D4F-6A4A-A489-776120EFE892}" xr6:coauthVersionLast="47" xr6:coauthVersionMax="47" xr10:uidLastSave="{00000000-0000-0000-0000-000000000000}"/>
  <bookViews>
    <workbookView xWindow="42360" yWindow="1140" windowWidth="41520" windowHeight="20480" activeTab="1" xr2:uid="{0F01BCF7-075B-274D-968C-E9FBFD899126}"/>
  </bookViews>
  <sheets>
    <sheet name="Berekening Johan" sheetId="4" state="hidden" r:id="rId1"/>
    <sheet name="Artikel - 2" sheetId="6" r:id="rId2"/>
    <sheet name="Artikel - 1" sheetId="5" r:id="rId3"/>
    <sheet name="Berekening" sheetId="1" r:id="rId4"/>
    <sheet name="Data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32" i="6" l="1"/>
  <c r="AF31" i="6"/>
  <c r="AF30" i="6"/>
  <c r="AB32" i="6"/>
  <c r="AB31" i="6"/>
  <c r="AB30" i="6"/>
  <c r="X32" i="6"/>
  <c r="X31" i="6"/>
  <c r="X30" i="6"/>
  <c r="T32" i="6"/>
  <c r="T31" i="6"/>
  <c r="T30" i="6"/>
  <c r="P32" i="6"/>
  <c r="P31" i="6"/>
  <c r="P30" i="6"/>
  <c r="L32" i="6"/>
  <c r="L31" i="6"/>
  <c r="L30" i="6"/>
  <c r="H32" i="6"/>
  <c r="H31" i="6"/>
  <c r="H30" i="6"/>
  <c r="H38" i="6"/>
  <c r="AH26" i="6"/>
  <c r="AH18" i="6" s="1"/>
  <c r="AF26" i="6"/>
  <c r="AF18" i="6" s="1"/>
  <c r="AD26" i="6"/>
  <c r="AB26" i="6"/>
  <c r="AB18" i="6" s="1"/>
  <c r="Z26" i="6"/>
  <c r="X26" i="6"/>
  <c r="X18" i="6" s="1"/>
  <c r="V26" i="6"/>
  <c r="V18" i="6" s="1"/>
  <c r="T26" i="6"/>
  <c r="T18" i="6" s="1"/>
  <c r="R26" i="6"/>
  <c r="R18" i="6" s="1"/>
  <c r="P26" i="6"/>
  <c r="P18" i="6" s="1"/>
  <c r="N26" i="6"/>
  <c r="N18" i="6" s="1"/>
  <c r="L26" i="6"/>
  <c r="L18" i="6" s="1"/>
  <c r="J26" i="6"/>
  <c r="J18" i="6" s="1"/>
  <c r="H26" i="6"/>
  <c r="H18" i="6" s="1"/>
  <c r="F26" i="6"/>
  <c r="AH25" i="6"/>
  <c r="AH28" i="6" s="1"/>
  <c r="AF25" i="6"/>
  <c r="AF28" i="6" s="1"/>
  <c r="AD25" i="6"/>
  <c r="AD28" i="6" s="1"/>
  <c r="AB25" i="6"/>
  <c r="AB28" i="6" s="1"/>
  <c r="Z25" i="6"/>
  <c r="Z28" i="6" s="1"/>
  <c r="X25" i="6"/>
  <c r="X28" i="6" s="1"/>
  <c r="V25" i="6"/>
  <c r="V28" i="6" s="1"/>
  <c r="T25" i="6"/>
  <c r="T28" i="6" s="1"/>
  <c r="R25" i="6"/>
  <c r="R28" i="6" s="1"/>
  <c r="P25" i="6"/>
  <c r="P28" i="6" s="1"/>
  <c r="N25" i="6"/>
  <c r="N28" i="6" s="1"/>
  <c r="L25" i="6"/>
  <c r="L28" i="6" s="1"/>
  <c r="J25" i="6"/>
  <c r="J28" i="6" s="1"/>
  <c r="H25" i="6"/>
  <c r="H28" i="6" s="1"/>
  <c r="F25" i="6"/>
  <c r="F28" i="6" s="1"/>
  <c r="AH24" i="6"/>
  <c r="AF24" i="6"/>
  <c r="AD24" i="6"/>
  <c r="AB24" i="6"/>
  <c r="Z24" i="6"/>
  <c r="X24" i="6"/>
  <c r="V24" i="6"/>
  <c r="T24" i="6"/>
  <c r="R24" i="6"/>
  <c r="P24" i="6"/>
  <c r="N24" i="6"/>
  <c r="L24" i="6"/>
  <c r="J24" i="6"/>
  <c r="H24" i="6"/>
  <c r="F24" i="6"/>
  <c r="AH23" i="6"/>
  <c r="AF23" i="6"/>
  <c r="AD23" i="6"/>
  <c r="AB23" i="6"/>
  <c r="Z23" i="6"/>
  <c r="X23" i="6"/>
  <c r="V23" i="6"/>
  <c r="T23" i="6"/>
  <c r="R23" i="6"/>
  <c r="P23" i="6"/>
  <c r="N23" i="6"/>
  <c r="L23" i="6"/>
  <c r="J23" i="6"/>
  <c r="H23" i="6"/>
  <c r="F23" i="6"/>
  <c r="AH22" i="6"/>
  <c r="AF22" i="6"/>
  <c r="AD22" i="6"/>
  <c r="AB22" i="6"/>
  <c r="Z22" i="6"/>
  <c r="X22" i="6"/>
  <c r="V22" i="6"/>
  <c r="T22" i="6"/>
  <c r="R22" i="6"/>
  <c r="P22" i="6"/>
  <c r="N22" i="6"/>
  <c r="L22" i="6"/>
  <c r="J22" i="6"/>
  <c r="H22" i="6"/>
  <c r="F22" i="6"/>
  <c r="AH21" i="6"/>
  <c r="AF21" i="6"/>
  <c r="AD21" i="6"/>
  <c r="AB21" i="6"/>
  <c r="Z21" i="6"/>
  <c r="X21" i="6"/>
  <c r="V21" i="6"/>
  <c r="T21" i="6"/>
  <c r="R21" i="6"/>
  <c r="P21" i="6"/>
  <c r="N21" i="6"/>
  <c r="L21" i="6"/>
  <c r="J21" i="6"/>
  <c r="H21" i="6"/>
  <c r="F21" i="6"/>
  <c r="AD18" i="6"/>
  <c r="Z18" i="6"/>
  <c r="F18" i="6"/>
  <c r="H17" i="6"/>
  <c r="F17" i="6"/>
  <c r="AH11" i="6"/>
  <c r="AH17" i="6" s="1"/>
  <c r="AF11" i="6"/>
  <c r="AF17" i="6" s="1"/>
  <c r="AD11" i="6"/>
  <c r="AD17" i="6" s="1"/>
  <c r="AB11" i="6"/>
  <c r="AB17" i="6" s="1"/>
  <c r="Z11" i="6"/>
  <c r="Z17" i="6" s="1"/>
  <c r="X11" i="6"/>
  <c r="X17" i="6" s="1"/>
  <c r="V11" i="6"/>
  <c r="V17" i="6" s="1"/>
  <c r="T11" i="6"/>
  <c r="T17" i="6" s="1"/>
  <c r="R11" i="6"/>
  <c r="R17" i="6" s="1"/>
  <c r="P11" i="6"/>
  <c r="P17" i="6" s="1"/>
  <c r="N11" i="6"/>
  <c r="N17" i="6" s="1"/>
  <c r="L11" i="6"/>
  <c r="L17" i="6" s="1"/>
  <c r="J11" i="6"/>
  <c r="J17" i="6" s="1"/>
  <c r="W26" i="5"/>
  <c r="U26" i="5"/>
  <c r="S26" i="5"/>
  <c r="S18" i="5" s="1"/>
  <c r="Q26" i="5"/>
  <c r="Q18" i="5" s="1"/>
  <c r="O26" i="5"/>
  <c r="O18" i="5" s="1"/>
  <c r="M26" i="5"/>
  <c r="M18" i="5" s="1"/>
  <c r="K26" i="5"/>
  <c r="K18" i="5" s="1"/>
  <c r="I26" i="5"/>
  <c r="I18" i="5" s="1"/>
  <c r="G26" i="5"/>
  <c r="G18" i="5" s="1"/>
  <c r="E26" i="5"/>
  <c r="E18" i="5" s="1"/>
  <c r="W25" i="5"/>
  <c r="W28" i="5" s="1"/>
  <c r="U25" i="5"/>
  <c r="U28" i="5" s="1"/>
  <c r="S25" i="5"/>
  <c r="S28" i="5" s="1"/>
  <c r="Q25" i="5"/>
  <c r="Q28" i="5" s="1"/>
  <c r="O25" i="5"/>
  <c r="O28" i="5" s="1"/>
  <c r="M25" i="5"/>
  <c r="M28" i="5" s="1"/>
  <c r="K25" i="5"/>
  <c r="K28" i="5" s="1"/>
  <c r="I25" i="5"/>
  <c r="I28" i="5" s="1"/>
  <c r="G25" i="5"/>
  <c r="G28" i="5" s="1"/>
  <c r="E25" i="5"/>
  <c r="E28" i="5" s="1"/>
  <c r="W24" i="5"/>
  <c r="U24" i="5"/>
  <c r="S24" i="5"/>
  <c r="Q24" i="5"/>
  <c r="O24" i="5"/>
  <c r="M24" i="5"/>
  <c r="K24" i="5"/>
  <c r="I24" i="5"/>
  <c r="G24" i="5"/>
  <c r="E24" i="5"/>
  <c r="W23" i="5"/>
  <c r="U23" i="5"/>
  <c r="S23" i="5"/>
  <c r="Q23" i="5"/>
  <c r="O23" i="5"/>
  <c r="M23" i="5"/>
  <c r="K23" i="5"/>
  <c r="I23" i="5"/>
  <c r="G23" i="5"/>
  <c r="E23" i="5"/>
  <c r="W22" i="5"/>
  <c r="U22" i="5"/>
  <c r="S22" i="5"/>
  <c r="Q22" i="5"/>
  <c r="O22" i="5"/>
  <c r="M22" i="5"/>
  <c r="K22" i="5"/>
  <c r="I22" i="5"/>
  <c r="G22" i="5"/>
  <c r="E22" i="5"/>
  <c r="W21" i="5"/>
  <c r="U21" i="5"/>
  <c r="S21" i="5"/>
  <c r="Q21" i="5"/>
  <c r="O21" i="5"/>
  <c r="M21" i="5"/>
  <c r="K21" i="5"/>
  <c r="I21" i="5"/>
  <c r="G21" i="5"/>
  <c r="E21" i="5"/>
  <c r="W18" i="5"/>
  <c r="U18" i="5"/>
  <c r="K17" i="5"/>
  <c r="I17" i="5"/>
  <c r="G17" i="5"/>
  <c r="E17" i="5"/>
  <c r="W11" i="5"/>
  <c r="W17" i="5" s="1"/>
  <c r="U11" i="5"/>
  <c r="U17" i="5" s="1"/>
  <c r="S11" i="5"/>
  <c r="S17" i="5" s="1"/>
  <c r="Q11" i="5"/>
  <c r="Q17" i="5" s="1"/>
  <c r="O11" i="5"/>
  <c r="O17" i="5" s="1"/>
  <c r="M11" i="5"/>
  <c r="M17" i="5" s="1"/>
  <c r="AM26" i="4"/>
  <c r="AM18" i="4" s="1"/>
  <c r="AM25" i="4"/>
  <c r="AM28" i="4" s="1"/>
  <c r="AM24" i="4"/>
  <c r="AM23" i="4"/>
  <c r="AM22" i="4"/>
  <c r="AM21" i="4"/>
  <c r="AM17" i="4"/>
  <c r="AM11" i="4"/>
  <c r="AK26" i="4"/>
  <c r="AI26" i="4"/>
  <c r="AI18" i="4" s="1"/>
  <c r="AK25" i="4"/>
  <c r="AK28" i="4" s="1"/>
  <c r="AI25" i="4"/>
  <c r="AI28" i="4" s="1"/>
  <c r="AK24" i="4"/>
  <c r="AI24" i="4"/>
  <c r="AK23" i="4"/>
  <c r="AI23" i="4"/>
  <c r="AK22" i="4"/>
  <c r="AI22" i="4"/>
  <c r="AK21" i="4"/>
  <c r="AI21" i="4"/>
  <c r="AK18" i="4"/>
  <c r="AK11" i="4"/>
  <c r="AK17" i="4" s="1"/>
  <c r="AI11" i="4"/>
  <c r="AI17" i="4" s="1"/>
  <c r="M31" i="4"/>
  <c r="AG26" i="4"/>
  <c r="AG25" i="4"/>
  <c r="AG28" i="4" s="1"/>
  <c r="AG24" i="4"/>
  <c r="AG23" i="4"/>
  <c r="AG22" i="4"/>
  <c r="AG21" i="4"/>
  <c r="AG18" i="4"/>
  <c r="AG11" i="4"/>
  <c r="AG17" i="4" s="1"/>
  <c r="AG16" i="4" s="1"/>
  <c r="AG14" i="4" s="1"/>
  <c r="AC26" i="4"/>
  <c r="AC18" i="4" s="1"/>
  <c r="AC25" i="4"/>
  <c r="AC28" i="4" s="1"/>
  <c r="AC24" i="4"/>
  <c r="AC23" i="4"/>
  <c r="AC22" i="4"/>
  <c r="AC21" i="4"/>
  <c r="AC11" i="4"/>
  <c r="AC17" i="4" s="1"/>
  <c r="Y26" i="4"/>
  <c r="Y18" i="4" s="1"/>
  <c r="Y25" i="4"/>
  <c r="Y28" i="4" s="1"/>
  <c r="Y24" i="4"/>
  <c r="Y23" i="4"/>
  <c r="Y22" i="4"/>
  <c r="Y21" i="4"/>
  <c r="Y11" i="4"/>
  <c r="Y17" i="4" s="1"/>
  <c r="U26" i="4"/>
  <c r="U18" i="4" s="1"/>
  <c r="U25" i="4"/>
  <c r="U28" i="4" s="1"/>
  <c r="U24" i="4"/>
  <c r="U23" i="4"/>
  <c r="U22" i="4"/>
  <c r="U21" i="4"/>
  <c r="U11" i="4"/>
  <c r="U17" i="4" s="1"/>
  <c r="Q26" i="4"/>
  <c r="Q18" i="4" s="1"/>
  <c r="Q25" i="4"/>
  <c r="Q28" i="4" s="1"/>
  <c r="Q24" i="4"/>
  <c r="Q23" i="4"/>
  <c r="Q22" i="4"/>
  <c r="Q21" i="4"/>
  <c r="Q11" i="4"/>
  <c r="Q17" i="4" s="1"/>
  <c r="M26" i="4"/>
  <c r="M18" i="4" s="1"/>
  <c r="M25" i="4"/>
  <c r="M28" i="4" s="1"/>
  <c r="M24" i="4"/>
  <c r="M23" i="4"/>
  <c r="M22" i="4"/>
  <c r="M21" i="4"/>
  <c r="M17" i="4"/>
  <c r="M28" i="1"/>
  <c r="G28" i="1"/>
  <c r="AE26" i="4"/>
  <c r="AE18" i="4" s="1"/>
  <c r="AE25" i="4"/>
  <c r="AE28" i="4" s="1"/>
  <c r="AE24" i="4"/>
  <c r="AE23" i="4"/>
  <c r="AE22" i="4"/>
  <c r="AE21" i="4"/>
  <c r="AE11" i="4"/>
  <c r="AE17" i="4" s="1"/>
  <c r="AA26" i="4"/>
  <c r="AA18" i="4" s="1"/>
  <c r="W26" i="4"/>
  <c r="W18" i="4" s="1"/>
  <c r="S26" i="4"/>
  <c r="S18" i="4" s="1"/>
  <c r="O26" i="4"/>
  <c r="O18" i="4" s="1"/>
  <c r="K26" i="4"/>
  <c r="K18" i="4" s="1"/>
  <c r="I26" i="4"/>
  <c r="I18" i="4" s="1"/>
  <c r="G26" i="4"/>
  <c r="G18" i="4" s="1"/>
  <c r="E26" i="4"/>
  <c r="E18" i="4" s="1"/>
  <c r="AA25" i="4"/>
  <c r="AA28" i="4" s="1"/>
  <c r="W25" i="4"/>
  <c r="W28" i="4" s="1"/>
  <c r="S25" i="4"/>
  <c r="S28" i="4" s="1"/>
  <c r="O25" i="4"/>
  <c r="O28" i="4" s="1"/>
  <c r="K25" i="4"/>
  <c r="K28" i="4" s="1"/>
  <c r="I25" i="4"/>
  <c r="I28" i="4" s="1"/>
  <c r="G25" i="4"/>
  <c r="G28" i="4" s="1"/>
  <c r="E25" i="4"/>
  <c r="E28" i="4" s="1"/>
  <c r="AA24" i="4"/>
  <c r="W24" i="4"/>
  <c r="S24" i="4"/>
  <c r="O24" i="4"/>
  <c r="K24" i="4"/>
  <c r="I24" i="4"/>
  <c r="G24" i="4"/>
  <c r="E24" i="4"/>
  <c r="AA23" i="4"/>
  <c r="W23" i="4"/>
  <c r="S23" i="4"/>
  <c r="O23" i="4"/>
  <c r="K23" i="4"/>
  <c r="I23" i="4"/>
  <c r="G23" i="4"/>
  <c r="E23" i="4"/>
  <c r="AA22" i="4"/>
  <c r="W22" i="4"/>
  <c r="S22" i="4"/>
  <c r="O22" i="4"/>
  <c r="K22" i="4"/>
  <c r="I22" i="4"/>
  <c r="G22" i="4"/>
  <c r="E22" i="4"/>
  <c r="AA21" i="4"/>
  <c r="W21" i="4"/>
  <c r="S21" i="4"/>
  <c r="O21" i="4"/>
  <c r="K21" i="4"/>
  <c r="I21" i="4"/>
  <c r="G21" i="4"/>
  <c r="E21" i="4"/>
  <c r="K17" i="4"/>
  <c r="I17" i="4"/>
  <c r="G17" i="4"/>
  <c r="E17" i="4"/>
  <c r="AA11" i="4"/>
  <c r="AA17" i="4" s="1"/>
  <c r="W11" i="4"/>
  <c r="W17" i="4" s="1"/>
  <c r="S11" i="4"/>
  <c r="S17" i="4" s="1"/>
  <c r="O11" i="4"/>
  <c r="O17" i="4" s="1"/>
  <c r="J11" i="3"/>
  <c r="H11" i="3"/>
  <c r="G11" i="3"/>
  <c r="S26" i="1"/>
  <c r="S18" i="1" s="1"/>
  <c r="S25" i="1"/>
  <c r="S28" i="1" s="1"/>
  <c r="S24" i="1"/>
  <c r="S23" i="1"/>
  <c r="S22" i="1"/>
  <c r="S21" i="1"/>
  <c r="S11" i="1"/>
  <c r="S17" i="1" s="1"/>
  <c r="O26" i="1"/>
  <c r="O18" i="1" s="1"/>
  <c r="O25" i="1"/>
  <c r="O28" i="1" s="1"/>
  <c r="O24" i="1"/>
  <c r="O23" i="1"/>
  <c r="O22" i="1"/>
  <c r="O21" i="1"/>
  <c r="O11" i="1"/>
  <c r="O17" i="1" s="1"/>
  <c r="K26" i="1"/>
  <c r="K18" i="1" s="1"/>
  <c r="K25" i="1"/>
  <c r="K28" i="1" s="1"/>
  <c r="K24" i="1"/>
  <c r="K23" i="1"/>
  <c r="K22" i="1"/>
  <c r="K21" i="1"/>
  <c r="K17" i="1"/>
  <c r="G26" i="1"/>
  <c r="G18" i="1" s="1"/>
  <c r="G25" i="1"/>
  <c r="G24" i="1"/>
  <c r="G23" i="1"/>
  <c r="G22" i="1"/>
  <c r="G21" i="1"/>
  <c r="G17" i="1"/>
  <c r="Q11" i="1"/>
  <c r="Q17" i="1" s="1"/>
  <c r="M11" i="1"/>
  <c r="M17" i="1" s="1"/>
  <c r="Q26" i="1"/>
  <c r="Q18" i="1" s="1"/>
  <c r="Q25" i="1"/>
  <c r="Q28" i="1" s="1"/>
  <c r="Q24" i="1"/>
  <c r="Q23" i="1"/>
  <c r="Q22" i="1"/>
  <c r="Q21" i="1"/>
  <c r="M26" i="1"/>
  <c r="M18" i="1" s="1"/>
  <c r="M25" i="1"/>
  <c r="M24" i="1"/>
  <c r="M23" i="1"/>
  <c r="M22" i="1"/>
  <c r="M21" i="1"/>
  <c r="I26" i="1"/>
  <c r="I18" i="1" s="1"/>
  <c r="I25" i="1"/>
  <c r="I28" i="1" s="1"/>
  <c r="I24" i="1"/>
  <c r="I23" i="1"/>
  <c r="I22" i="1"/>
  <c r="I21" i="1"/>
  <c r="I17" i="1"/>
  <c r="E17" i="1"/>
  <c r="E25" i="1"/>
  <c r="E28" i="1" s="1"/>
  <c r="E24" i="1"/>
  <c r="E23" i="1"/>
  <c r="E21" i="1"/>
  <c r="E22" i="1"/>
  <c r="U11" i="3"/>
  <c r="E26" i="1" s="1"/>
  <c r="E18" i="1" s="1"/>
  <c r="T11" i="3"/>
  <c r="S11" i="3"/>
  <c r="R11" i="3"/>
  <c r="Q11" i="3"/>
  <c r="P11" i="3"/>
  <c r="O11" i="3"/>
  <c r="N11" i="3"/>
  <c r="M11" i="3"/>
  <c r="L11" i="3"/>
  <c r="K11" i="3"/>
  <c r="I11" i="3"/>
  <c r="D11" i="3"/>
  <c r="C11" i="3"/>
  <c r="F16" i="6" l="1"/>
  <c r="F14" i="6" s="1"/>
  <c r="H34" i="6" s="1"/>
  <c r="AD16" i="6"/>
  <c r="AD14" i="6" s="1"/>
  <c r="AF34" i="6" s="1"/>
  <c r="H16" i="6"/>
  <c r="H14" i="6" s="1"/>
  <c r="H35" i="6" s="1"/>
  <c r="AF16" i="6"/>
  <c r="AF14" i="6" s="1"/>
  <c r="AF35" i="6" s="1"/>
  <c r="X16" i="6"/>
  <c r="X14" i="6" s="1"/>
  <c r="X35" i="6" s="1"/>
  <c r="AB16" i="6"/>
  <c r="AB14" i="6" s="1"/>
  <c r="AB35" i="6" s="1"/>
  <c r="J16" i="6"/>
  <c r="J14" i="6" s="1"/>
  <c r="L34" i="6" s="1"/>
  <c r="N16" i="6"/>
  <c r="N14" i="6" s="1"/>
  <c r="V16" i="6"/>
  <c r="V14" i="6" s="1"/>
  <c r="Z16" i="6"/>
  <c r="Z14" i="6" s="1"/>
  <c r="AH16" i="6"/>
  <c r="AH14" i="6" s="1"/>
  <c r="L16" i="6"/>
  <c r="L14" i="6" s="1"/>
  <c r="L35" i="6" s="1"/>
  <c r="P16" i="6"/>
  <c r="P14" i="6" s="1"/>
  <c r="P35" i="6" s="1"/>
  <c r="R16" i="6"/>
  <c r="R14" i="6" s="1"/>
  <c r="T34" i="6" s="1"/>
  <c r="T16" i="6"/>
  <c r="T14" i="6" s="1"/>
  <c r="T35" i="6" s="1"/>
  <c r="E16" i="5"/>
  <c r="E14" i="5" s="1"/>
  <c r="G16" i="5"/>
  <c r="G14" i="5" s="1"/>
  <c r="K16" i="5"/>
  <c r="K14" i="5" s="1"/>
  <c r="I16" i="5"/>
  <c r="I14" i="5" s="1"/>
  <c r="M16" i="5"/>
  <c r="M14" i="5" s="1"/>
  <c r="O16" i="5"/>
  <c r="O14" i="5" s="1"/>
  <c r="S16" i="5"/>
  <c r="S14" i="5" s="1"/>
  <c r="U16" i="5"/>
  <c r="U14" i="5" s="1"/>
  <c r="W16" i="5"/>
  <c r="W14" i="5" s="1"/>
  <c r="Q16" i="5"/>
  <c r="Q14" i="5" s="1"/>
  <c r="AM16" i="4"/>
  <c r="AM14" i="4" s="1"/>
  <c r="AM30" i="4" s="1"/>
  <c r="AM32" i="4" s="1"/>
  <c r="S16" i="1"/>
  <c r="Q16" i="1"/>
  <c r="AK16" i="4"/>
  <c r="AK14" i="4" s="1"/>
  <c r="AI16" i="4"/>
  <c r="AI14" i="4" s="1"/>
  <c r="M16" i="1"/>
  <c r="M14" i="1" s="1"/>
  <c r="K16" i="1"/>
  <c r="K14" i="1" s="1"/>
  <c r="I16" i="1"/>
  <c r="I14" i="1" s="1"/>
  <c r="G16" i="1"/>
  <c r="G14" i="1" s="1"/>
  <c r="O16" i="1"/>
  <c r="O14" i="1" s="1"/>
  <c r="E16" i="1"/>
  <c r="E14" i="1" s="1"/>
  <c r="AC16" i="4"/>
  <c r="AC14" i="4" s="1"/>
  <c r="Y16" i="4"/>
  <c r="Y14" i="4" s="1"/>
  <c r="U16" i="4"/>
  <c r="U14" i="4" s="1"/>
  <c r="Q16" i="4"/>
  <c r="Q14" i="4" s="1"/>
  <c r="O16" i="4"/>
  <c r="O14" i="4" s="1"/>
  <c r="I16" i="4"/>
  <c r="I14" i="4" s="1"/>
  <c r="M16" i="4"/>
  <c r="M14" i="4" s="1"/>
  <c r="K16" i="4"/>
  <c r="K14" i="4" s="1"/>
  <c r="M30" i="4" s="1"/>
  <c r="M32" i="4" s="1"/>
  <c r="E16" i="4"/>
  <c r="E14" i="4" s="1"/>
  <c r="S16" i="4"/>
  <c r="S14" i="4" s="1"/>
  <c r="U30" i="4" s="1"/>
  <c r="G16" i="4"/>
  <c r="G14" i="4" s="1"/>
  <c r="W16" i="4"/>
  <c r="W14" i="4" s="1"/>
  <c r="AE16" i="4"/>
  <c r="AE14" i="4" s="1"/>
  <c r="AG30" i="4" s="1"/>
  <c r="AA16" i="4"/>
  <c r="AA14" i="4" s="1"/>
  <c r="AC30" i="4" s="1"/>
  <c r="S14" i="1"/>
  <c r="Q14" i="1"/>
  <c r="AB36" i="6" l="1"/>
  <c r="AB34" i="6"/>
  <c r="X36" i="6"/>
  <c r="X34" i="6"/>
  <c r="P36" i="6"/>
  <c r="P34" i="6"/>
  <c r="L36" i="6"/>
  <c r="T36" i="6"/>
  <c r="AF36" i="6"/>
  <c r="H36" i="6"/>
  <c r="H39" i="6"/>
  <c r="L39" i="6" s="1"/>
  <c r="P39" i="6" s="1"/>
  <c r="T39" i="6" s="1"/>
  <c r="X39" i="6" s="1"/>
  <c r="AB39" i="6" s="1"/>
  <c r="AF39" i="6" s="1"/>
  <c r="AH36" i="6"/>
  <c r="AH39" i="6" s="1"/>
  <c r="Y30" i="4"/>
  <c r="Q30" i="4"/>
  <c r="Q32" i="4" s="1"/>
  <c r="U32" i="4" s="1"/>
  <c r="Y32" i="4" s="1"/>
  <c r="AC32" i="4" s="1"/>
  <c r="AG32" i="4" s="1"/>
  <c r="AK30" i="4"/>
  <c r="AK3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van der Stoel</author>
  </authors>
  <commentList>
    <comment ref="E6" authorId="0" shapeId="0" xr:uid="{D21D429D-C735-B14A-A33A-6F77EAD47BD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G6" authorId="0" shapeId="0" xr:uid="{CEC25BE9-C2A9-B240-ABBB-41F0D654207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I6" authorId="0" shapeId="0" xr:uid="{7A76E152-162D-E941-B03E-2E0CB010CE0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K6" authorId="0" shapeId="0" xr:uid="{D2B3D2A1-EECB-C64B-B101-7D0F4FBDC35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M6" authorId="0" shapeId="0" xr:uid="{207115AB-0C87-764C-97BD-8C4FC7A53A9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O6" authorId="0" shapeId="0" xr:uid="{7FC38A57-FF12-D147-89C2-F0E61E61301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Q6" authorId="0" shapeId="0" xr:uid="{BBA5417F-49A3-594C-9E9C-70AB6F68D6E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S6" authorId="0" shapeId="0" xr:uid="{58A58545-8F4B-6B43-A446-651E416EED0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U6" authorId="0" shapeId="0" xr:uid="{CEE26E1F-DFEF-DA4B-8EAA-7A7D973BADB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W6" authorId="0" shapeId="0" xr:uid="{DE3C0345-13E2-1F45-B94F-C271046FF5B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Y6" authorId="0" shapeId="0" xr:uid="{85025EE0-354D-934A-8EC0-B7D9E049711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A6" authorId="0" shapeId="0" xr:uid="{CD415CE2-4BAB-2540-B44E-EE0E1DEDDB7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C6" authorId="0" shapeId="0" xr:uid="{F9D34982-95EA-7248-9D46-42533F15933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E6" authorId="0" shapeId="0" xr:uid="{FAC8D2C4-C5EE-144E-AD56-6176F6D89B5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G6" authorId="0" shapeId="0" xr:uid="{3C1EDE6E-9E32-2D4A-841A-7ED79A2F21A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I6" authorId="0" shapeId="0" xr:uid="{B06F1A1C-3AC6-5945-9E10-28DD092866F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K6" authorId="0" shapeId="0" xr:uid="{B024F274-B371-704C-A32E-8EC3298F481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M6" authorId="0" shapeId="0" xr:uid="{D6D11027-4A85-3B41-A81B-203F596ECE0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E7" authorId="0" shapeId="0" xr:uid="{BC8AE580-9AAB-3442-8617-C6251FB4B75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G7" authorId="0" shapeId="0" xr:uid="{700EF93B-9DEA-314F-AB73-3210923A8C9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I7" authorId="0" shapeId="0" xr:uid="{8190FAFD-031B-A646-9DAE-DBA2CAA2FF1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K7" authorId="0" shapeId="0" xr:uid="{B85FF568-4D0A-4B42-BD31-A9FFDF5D2B5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M7" authorId="0" shapeId="0" xr:uid="{D6750490-C138-924D-A473-B96F73292109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O7" authorId="0" shapeId="0" xr:uid="{BECFCCC6-C580-9243-AA4F-1277D2AD81D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Q7" authorId="0" shapeId="0" xr:uid="{75E166D6-D31A-7849-AEF6-E7432DC4757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S7" authorId="0" shapeId="0" xr:uid="{36ED316E-3D89-854B-82D9-C126DC07E43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U7" authorId="0" shapeId="0" xr:uid="{DB53C3A7-E6A3-D845-BA25-B7058366506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W7" authorId="0" shapeId="0" xr:uid="{1C653C1F-A1BB-7C45-A401-A07DEA0CA73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Y7" authorId="0" shapeId="0" xr:uid="{328DFB82-47FC-0249-BD5C-455959F0E40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A7" authorId="0" shapeId="0" xr:uid="{03AB1036-4201-1E45-A1EB-1ADB6634148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C7" authorId="0" shapeId="0" xr:uid="{F6EE05CE-CCE8-614B-8312-2CE32718C89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E7" authorId="0" shapeId="0" xr:uid="{7A71A704-F2FB-3848-9E67-83B8F819CB9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G7" authorId="0" shapeId="0" xr:uid="{E71AAE26-F163-554E-9EE9-6DBEB1AEE77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I7" authorId="0" shapeId="0" xr:uid="{10C9BA41-6537-C24F-88FE-D8B3A019DB1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K7" authorId="0" shapeId="0" xr:uid="{C2D06F46-C1C9-BC45-97CE-7C7D5E154EA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M7" authorId="0" shapeId="0" xr:uid="{2C875DF8-0535-A64C-8058-CDD83CCD4D3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E8" authorId="0" shapeId="0" xr:uid="{B4392549-EEAC-7244-80EA-115D9681B1D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G8" authorId="0" shapeId="0" xr:uid="{4F621F1F-EE90-6D47-A234-275877599CE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I8" authorId="0" shapeId="0" xr:uid="{207D1852-467B-4D4F-8110-EE9F7FD536B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K8" authorId="0" shapeId="0" xr:uid="{DFB56117-2E8E-FA4F-836B-D0888D1F00B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M8" authorId="0" shapeId="0" xr:uid="{6BC54515-30A5-E349-8C46-9441DAE8C0D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O8" authorId="0" shapeId="0" xr:uid="{D00BDE25-F094-BB47-B75A-2EA1B93F9A7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Q8" authorId="0" shapeId="0" xr:uid="{0A2749BD-4FD7-7144-A408-B8D97F41D8C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S8" authorId="0" shapeId="0" xr:uid="{093DF418-9524-404E-B0C3-D84658F2644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U8" authorId="0" shapeId="0" xr:uid="{7583652C-AD74-5949-9AE2-9D760419126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W8" authorId="0" shapeId="0" xr:uid="{58D585DD-4E7C-594E-B398-58D972AF713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Y8" authorId="0" shapeId="0" xr:uid="{78C74081-92B5-0E40-B2E9-196B49421EC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A8" authorId="0" shapeId="0" xr:uid="{B9716EA6-1660-1143-A018-D83ED7F6ACE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C8" authorId="0" shapeId="0" xr:uid="{2FC2C7C5-E0CF-CC45-86FC-49EB7DA3436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E8" authorId="0" shapeId="0" xr:uid="{228E9AE1-8AA2-4C48-A736-81D9A34A3C4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G8" authorId="0" shapeId="0" xr:uid="{A0C5A83A-4DA0-094E-8B64-4974CE07600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I8" authorId="0" shapeId="0" xr:uid="{140042AD-BF36-F446-B90F-05F8394A005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K8" authorId="0" shapeId="0" xr:uid="{4BA15464-4E8B-094D-8822-D56754F7C23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M8" authorId="0" shapeId="0" xr:uid="{10537211-89A5-B940-A2A5-D2285E7F264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D10" authorId="0" shapeId="0" xr:uid="{7CED9D75-EFE3-D845-B8D5-DAE14BB1A92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1" authorId="0" shapeId="0" xr:uid="{D3B0C2AB-A837-A340-B002-BD2CBC7F3FC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2" authorId="0" shapeId="0" xr:uid="{32DC757A-2B28-654D-B20C-5CE9DC1CF3F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4" authorId="0" shapeId="0" xr:uid="{DDC6418F-A08D-7741-80F8-BFB0F81286A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Uiteraard incl. BTW</t>
        </r>
      </text>
    </comment>
    <comment ref="E14" authorId="0" shapeId="0" xr:uid="{2EC6482E-8D3F-8147-86D1-573AEB5F4CE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G14" authorId="0" shapeId="0" xr:uid="{5E81416F-C12C-BA49-BFDE-7B69C9E8B57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I14" authorId="0" shapeId="0" xr:uid="{A4A140DF-3C61-3E42-B2ED-C5F2F79976C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K14" authorId="0" shapeId="0" xr:uid="{59BA8D6A-FFC8-BA46-BB12-DBC0046D835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M14" authorId="0" shapeId="0" xr:uid="{3771AF4F-8589-A54E-AF4D-CAAFAD8D84F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O14" authorId="0" shapeId="0" xr:uid="{E1E53FB4-1E6C-F848-827D-FBF69D2FB0B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Q14" authorId="0" shapeId="0" xr:uid="{BBF5909D-AA4F-C44B-A6AB-A6D2E1BECA2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S14" authorId="0" shapeId="0" xr:uid="{79B37DDD-7AB6-8743-9256-DC5AEF7B2F1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U14" authorId="0" shapeId="0" xr:uid="{69BEB921-43C3-D043-9122-BC435FE0B84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W14" authorId="0" shapeId="0" xr:uid="{F4A77148-40FC-D043-9A79-CE1B0394C3D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Y14" authorId="0" shapeId="0" xr:uid="{7693FC98-7578-BE41-98AC-A4997E5C3BE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A14" authorId="0" shapeId="0" xr:uid="{3B934D5D-F7A1-A441-9903-0DB187E1F09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C14" authorId="0" shapeId="0" xr:uid="{327FD631-6D3A-4949-A794-A9C1ADEA66B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E14" authorId="0" shapeId="0" xr:uid="{6A632BFE-7871-F94C-B7E9-5B9262D28C6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G14" authorId="0" shapeId="0" xr:uid="{DED06BBA-F4E3-F04A-848D-96271441579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I14" authorId="0" shapeId="0" xr:uid="{190FB86F-2624-5043-B118-E9C6C9179A6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K14" authorId="0" shapeId="0" xr:uid="{19CA62C6-8F01-0049-AB6C-52478F6AE24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M14" authorId="0" shapeId="0" xr:uid="{9B1F12BE-A695-CC42-9C19-823273FA35D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D21" authorId="0" shapeId="0" xr:uid="{1F8DB450-0548-5147-949A-FFB851A73C6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22" authorId="0" shapeId="0" xr:uid="{9DFAF657-5B02-9746-95F2-A1BE4A4C6BE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24" authorId="0" shapeId="0" xr:uid="{B5DFB35F-74E4-0A47-93B3-2630B829918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Vast bedrag, want een deel van het energiegebruik is basisbehoefte. Vroeger werd dit heffingkorting genoemd. Dit bedrag is excl. BTW</t>
        </r>
      </text>
    </comment>
    <comment ref="D25" authorId="0" shapeId="0" xr:uid="{A732A948-F0B9-2D49-87BE-B93DC26ABC3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100% = geen saldering
</t>
        </r>
        <r>
          <rPr>
            <sz val="10"/>
            <color rgb="FF000000"/>
            <rFont val="Tahoma"/>
            <family val="2"/>
          </rPr>
          <t>0% = max saldering vlgs wetsvoorstel</t>
        </r>
      </text>
    </comment>
    <comment ref="D28" authorId="0" shapeId="0" xr:uid="{41EB8F9D-F6DF-BD47-87CB-75D67A9873F9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Over dit bedrag worden alle belastingen berekend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van der Stoel</author>
  </authors>
  <commentList>
    <comment ref="F6" authorId="0" shapeId="0" xr:uid="{39AD8972-B6E8-3544-B023-87BE2DC5E66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H6" authorId="0" shapeId="0" xr:uid="{1D388A69-CEA7-3945-B198-61C0CFCA00B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J6" authorId="0" shapeId="0" xr:uid="{E2BAD61E-E88A-874E-9437-5B445C06CD1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L6" authorId="0" shapeId="0" xr:uid="{6C0713B6-6C13-464D-8C4E-D794923EBAA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N6" authorId="0" shapeId="0" xr:uid="{52131B11-3F23-AE42-BF17-F9B1D2AEC71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P6" authorId="0" shapeId="0" xr:uid="{DB89082A-075F-5C4C-8A41-F39D8FCCC7C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R6" authorId="0" shapeId="0" xr:uid="{4D04299A-6C03-F94E-8499-DAE6501690D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T6" authorId="0" shapeId="0" xr:uid="{FC04CE8F-08B2-E94C-9056-2BE62A6D4DE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V6" authorId="0" shapeId="0" xr:uid="{D29D5A20-A4B7-594D-B01D-5BB17BA818F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X6" authorId="0" shapeId="0" xr:uid="{65407705-D14C-BA47-94A3-5E54327C935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Z6" authorId="0" shapeId="0" xr:uid="{0F097D08-0329-854E-9113-52A2FB8AB1D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B6" authorId="0" shapeId="0" xr:uid="{E1ABB861-0AA2-584A-A9E5-C02E2D3EF88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D6" authorId="0" shapeId="0" xr:uid="{22DFD8F3-2C86-9F4F-B962-B8CF320EBA3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F6" authorId="0" shapeId="0" xr:uid="{8153D09A-EFB8-D047-B11F-04DBB247CFB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AH6" authorId="0" shapeId="0" xr:uid="{A632F919-149C-BE4B-BCE6-7700EC6B929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F7" authorId="0" shapeId="0" xr:uid="{F9C4B513-B199-404D-A38B-F6F712589B2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H7" authorId="0" shapeId="0" xr:uid="{AF2424A8-25D5-D048-BA60-58C96B3D440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J7" authorId="0" shapeId="0" xr:uid="{85A2DD66-48C8-3148-8F39-B4E7614D322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L7" authorId="0" shapeId="0" xr:uid="{89ED38C5-74E3-B54F-BFA5-8964A0EE86A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N7" authorId="0" shapeId="0" xr:uid="{CC29075A-9242-1641-8436-424CABF5F6C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P7" authorId="0" shapeId="0" xr:uid="{C158E84F-8B98-6741-9BB9-B06390356A3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R7" authorId="0" shapeId="0" xr:uid="{4ED3019F-5F48-094C-AEB7-A1B3B73718C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T7" authorId="0" shapeId="0" xr:uid="{2DC84F75-E7C8-E344-8A1F-40720DD043E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V7" authorId="0" shapeId="0" xr:uid="{8764D319-617B-2D43-891F-1A824960849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X7" authorId="0" shapeId="0" xr:uid="{E9701A93-B1FB-F246-9C13-BF515278D6C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Z7" authorId="0" shapeId="0" xr:uid="{1CE5369A-A939-7E46-9D57-8182BBD0055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B7" authorId="0" shapeId="0" xr:uid="{F57F0D04-BEC4-FC4B-A0DE-BF54B8F09F0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D7" authorId="0" shapeId="0" xr:uid="{0B3A9EB6-CF4F-C84F-A29A-392C781F149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F7" authorId="0" shapeId="0" xr:uid="{224DC71C-1294-F649-A567-BC2862AF0C2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AH7" authorId="0" shapeId="0" xr:uid="{E18C76E0-1D06-9A47-91D7-6EC1105C05B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F8" authorId="0" shapeId="0" xr:uid="{03308D80-5DEC-3F46-8003-FBD62723B2F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H8" authorId="0" shapeId="0" xr:uid="{816A70E8-AC45-E642-BB28-1FA8E9E6A8E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J8" authorId="0" shapeId="0" xr:uid="{8D92265C-AB94-B443-BCDC-FA5F96C2A36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L8" authorId="0" shapeId="0" xr:uid="{3507D29C-E931-9244-83C0-71060B78BAF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N8" authorId="0" shapeId="0" xr:uid="{154B8252-AEC3-DD4D-A986-9E180D0CFD3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P8" authorId="0" shapeId="0" xr:uid="{9B404430-D613-D145-8796-B18D32AAAA6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R8" authorId="0" shapeId="0" xr:uid="{4A3E5B4A-7611-E043-85D4-5C91B72FC7C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T8" authorId="0" shapeId="0" xr:uid="{8D2C85C5-A44B-FC4B-A8BA-2DC010D20D7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V8" authorId="0" shapeId="0" xr:uid="{F2FFC740-EC2B-C24B-BC01-DA411D70B5A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X8" authorId="0" shapeId="0" xr:uid="{0D8BABB6-7B35-5946-97A2-FF258851608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Z8" authorId="0" shapeId="0" xr:uid="{FC515E9C-DCC6-714C-90D1-36D23D01EE6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B8" authorId="0" shapeId="0" xr:uid="{317C1DD7-EC38-BE40-86C2-FCCF640A979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D8" authorId="0" shapeId="0" xr:uid="{328ABC89-4DF5-E840-B10A-453DDC021DC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F8" authorId="0" shapeId="0" xr:uid="{28618296-83A0-2042-99B0-1BBE6FC5059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AH8" authorId="0" shapeId="0" xr:uid="{097E6B6D-3D08-7846-A0A4-A3A635D096B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D10" authorId="0" shapeId="0" xr:uid="{0186E993-1E89-D14D-916B-5ECC9C8ED04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1" authorId="0" shapeId="0" xr:uid="{4EF7CBF4-4E66-2A46-AD0F-FC56B162770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2" authorId="0" shapeId="0" xr:uid="{9AF4DCA5-E742-0D4B-AEF8-D7482B68C36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4" authorId="0" shapeId="0" xr:uid="{19944F9F-1196-444F-BD0B-B78BDB3D9D0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Uiteraard incl. BTW</t>
        </r>
      </text>
    </comment>
    <comment ref="F14" authorId="0" shapeId="0" xr:uid="{88E745D0-EDFF-B14D-A2B4-99CFDDEA0BC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H14" authorId="0" shapeId="0" xr:uid="{98AFD9BC-61C3-C142-B042-9D63821A1CD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J14" authorId="0" shapeId="0" xr:uid="{9ADDE3A5-FD43-2547-B5C0-67C2FBE94C1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L14" authorId="0" shapeId="0" xr:uid="{701D3212-7E64-8C46-8263-52878CE4DF6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N14" authorId="0" shapeId="0" xr:uid="{EE4B065A-6F8D-FA45-BDB0-A58A063C76B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P14" authorId="0" shapeId="0" xr:uid="{B112B332-FABA-4A4A-97E8-8BB528BDA5C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R14" authorId="0" shapeId="0" xr:uid="{41FF1FDA-D5E6-504B-B644-C529A98260B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T14" authorId="0" shapeId="0" xr:uid="{9E31F4CE-8B2A-404B-8959-59FE19755B9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V14" authorId="0" shapeId="0" xr:uid="{16A760FF-3AC1-514B-9D7A-C4D03046516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X14" authorId="0" shapeId="0" xr:uid="{48C4C794-5F6D-9149-9A24-80C6E3F14C8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Z14" authorId="0" shapeId="0" xr:uid="{5562CAE4-8ADA-2F45-AF94-47ACCD1BF61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B14" authorId="0" shapeId="0" xr:uid="{5D5330B0-C83F-484E-8D47-AFB64FF7988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D14" authorId="0" shapeId="0" xr:uid="{4298A9F0-52E8-8B4F-B74B-699FF728B05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F14" authorId="0" shapeId="0" xr:uid="{02058AE9-7914-3449-8661-9A75BEFC629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AH14" authorId="0" shapeId="0" xr:uid="{16F2CB1E-D919-DA46-A36D-61D5A8EA39D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D21" authorId="0" shapeId="0" xr:uid="{C80CAD1C-26DD-7C43-A4EE-480B5B4B677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22" authorId="0" shapeId="0" xr:uid="{8363540C-2513-7F43-8952-66AC9EC7B0E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24" authorId="0" shapeId="0" xr:uid="{0C51D8ED-DB03-D742-BFD1-ADF54821625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Vast bedrag, want een deel van het energiegebruik is basisbehoefte. Vroeger werd dit heffingkorting genoemd. Dit bedrag is excl. BTW</t>
        </r>
      </text>
    </comment>
    <comment ref="D25" authorId="0" shapeId="0" xr:uid="{1C8AA98A-31B1-9D48-978B-06DFE9F7B62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100% = geen saldering
</t>
        </r>
        <r>
          <rPr>
            <sz val="10"/>
            <color rgb="FF000000"/>
            <rFont val="Tahoma"/>
            <family val="2"/>
          </rPr>
          <t>0% = max saldering vlgs wetsvoorstel</t>
        </r>
      </text>
    </comment>
    <comment ref="D28" authorId="0" shapeId="0" xr:uid="{7ABE8BC8-F631-064C-9F8E-528C6834562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Over dit bedrag worden alle belastingen berekend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van der Stoel</author>
  </authors>
  <commentList>
    <comment ref="E6" authorId="0" shapeId="0" xr:uid="{CC1E4D97-C8ED-E847-B663-934E474D8CD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G6" authorId="0" shapeId="0" xr:uid="{13D27453-E114-5242-93B3-1A7240A44D5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I6" authorId="0" shapeId="0" xr:uid="{D795CA92-5832-3B4B-ABED-C39D02E381D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K6" authorId="0" shapeId="0" xr:uid="{F866CE65-CC42-0841-987B-ED24464B5A6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M6" authorId="0" shapeId="0" xr:uid="{982AD098-8969-6041-AEA6-DE18EE2C15C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O6" authorId="0" shapeId="0" xr:uid="{1B1F9351-8259-6E40-B5A8-5AD98E24A99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Q6" authorId="0" shapeId="0" xr:uid="{BF4580D8-7786-9D4C-8AF3-AFECD43B56C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S6" authorId="0" shapeId="0" xr:uid="{EE671483-EB7C-5C4F-B53D-8A9C64F5EF2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U6" authorId="0" shapeId="0" xr:uid="{38611F09-7F53-864F-A2A4-5D0767892A5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W6" authorId="0" shapeId="0" xr:uid="{A2DD62FA-BF01-4C46-827F-5DEE812E72A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E7" authorId="0" shapeId="0" xr:uid="{9E95C240-C600-F940-941E-775387873B59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G7" authorId="0" shapeId="0" xr:uid="{D348E7F5-C594-1C43-BD80-767ED513801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I7" authorId="0" shapeId="0" xr:uid="{B79979BA-76FA-7C49-BEAA-1E33856BE0E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K7" authorId="0" shapeId="0" xr:uid="{D66899AB-7B0A-A34C-8BE1-CA4216B1C39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M7" authorId="0" shapeId="0" xr:uid="{DF9704E0-1FB0-264B-BD29-CF1D1197F04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O7" authorId="0" shapeId="0" xr:uid="{335AC619-FC15-8248-82E6-DAC423E7546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Q7" authorId="0" shapeId="0" xr:uid="{50C05192-EFE5-1446-89DD-136E4F9FC82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S7" authorId="0" shapeId="0" xr:uid="{D9157D46-5738-BB46-8165-B59DC4506C9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U7" authorId="0" shapeId="0" xr:uid="{653C0856-56C8-2447-AFFA-DF42FD14EC4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W7" authorId="0" shapeId="0" xr:uid="{7BCCB360-35FC-AF42-8CE3-2301CC2468A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E8" authorId="0" shapeId="0" xr:uid="{1EE9D0D3-00D9-E942-B0AC-6747A74F5D7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G8" authorId="0" shapeId="0" xr:uid="{E86BD3D9-844C-1545-BC48-6EF06FD226E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I8" authorId="0" shapeId="0" xr:uid="{764FFA6C-14B6-824E-AC6D-0EBF8820CC7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K8" authorId="0" shapeId="0" xr:uid="{8C4B1CFE-A1EA-0841-98CB-A87DD6D26A1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M8" authorId="0" shapeId="0" xr:uid="{3549C5B4-EB64-404F-B355-054DBA93CA1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O8" authorId="0" shapeId="0" xr:uid="{32D65334-4B35-2045-A742-FA1E96312E6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Q8" authorId="0" shapeId="0" xr:uid="{258147CD-9F48-AF41-A50A-C7991349931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S8" authorId="0" shapeId="0" xr:uid="{7B2CE65F-CFF4-2442-BCD1-29C5CAC79E6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U8" authorId="0" shapeId="0" xr:uid="{3AAC56AA-AFFF-6542-8156-6F90C45C86B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W8" authorId="0" shapeId="0" xr:uid="{50D26F6C-E22F-7640-9490-87B61A8F57C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D10" authorId="0" shapeId="0" xr:uid="{9BF8B738-D103-2A42-88B8-13A7177AD60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1" authorId="0" shapeId="0" xr:uid="{5A814BF6-3CEB-FF44-B9FC-BFC5F4B916B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2" authorId="0" shapeId="0" xr:uid="{2DA00841-C05D-2843-A391-A78CCDBE75D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4" authorId="0" shapeId="0" xr:uid="{7DB79791-1783-3644-A287-B850A4DAA5D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Uiteraard incl. BTW</t>
        </r>
      </text>
    </comment>
    <comment ref="E14" authorId="0" shapeId="0" xr:uid="{767AC3D9-122C-A242-9A77-699708C4D1D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G14" authorId="0" shapeId="0" xr:uid="{AA16D685-E799-984A-832D-2156CF87902C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I14" authorId="0" shapeId="0" xr:uid="{684F5A66-8ABB-BC44-89F7-95A191167D2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K14" authorId="0" shapeId="0" xr:uid="{B4320D39-0979-5842-8667-8DB8A63EE8C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M14" authorId="0" shapeId="0" xr:uid="{C57AB7E6-7C53-A947-92EB-5849223E69B9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O14" authorId="0" shapeId="0" xr:uid="{18BFF41E-9118-DA4E-A1AD-034BECE91D2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Q14" authorId="0" shapeId="0" xr:uid="{8ED5D46D-D083-DB47-B2B6-A0EA4788100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S14" authorId="0" shapeId="0" xr:uid="{96BB252D-8122-5C41-B87D-E1F05B6B4BB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U14" authorId="0" shapeId="0" xr:uid="{1C5125B5-1FEE-604D-8BB2-89E7FBB9D38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W14" authorId="0" shapeId="0" xr:uid="{3BBA8FC5-D81F-9146-B997-D9872E098A4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D21" authorId="0" shapeId="0" xr:uid="{05CADD26-490A-5A40-AA4E-95CE0DDC63A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22" authorId="0" shapeId="0" xr:uid="{8691B3D4-10CD-DE47-A90F-71685DEA4ED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24" authorId="0" shapeId="0" xr:uid="{79BDE0D2-45B5-9041-9C03-60024CABAF2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Vast bedrag, want een deel van het energiegebruik is basisbehoefte. Vroeger werd dit heffingkorting genoemd. Dit bedrag is excl. BTW</t>
        </r>
      </text>
    </comment>
    <comment ref="D25" authorId="0" shapeId="0" xr:uid="{D8B7C0E0-440D-1D44-802E-55952E09B37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100% = geen saldering
</t>
        </r>
        <r>
          <rPr>
            <sz val="10"/>
            <color rgb="FF000000"/>
            <rFont val="Tahoma"/>
            <family val="2"/>
          </rPr>
          <t>0% = max saldering vlgs wetsvoorstel</t>
        </r>
      </text>
    </comment>
    <comment ref="D28" authorId="0" shapeId="0" xr:uid="{EB9ED2DF-4445-4B41-904F-F95BED9D4C6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Over dit bedrag worden alle belastingen berekend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 van der Stoel</author>
  </authors>
  <commentList>
    <comment ref="E6" authorId="0" shapeId="0" xr:uid="{F4A548E7-031C-FC44-B5B3-AEE70422308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G6" authorId="0" shapeId="0" xr:uid="{34B6BE37-DA0A-574C-AD0B-E1B76459D64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I6" authorId="0" shapeId="0" xr:uid="{A424A631-DF05-B24D-AE05-0B704931E09E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K6" authorId="0" shapeId="0" xr:uid="{682E1595-30EB-8243-B825-683F59EA4D5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M6" authorId="0" shapeId="0" xr:uid="{30A7BEDA-FB59-9944-A7DF-337D38D43AD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O6" authorId="0" shapeId="0" xr:uid="{096343F2-9CAE-A249-8358-9BBB53154C9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Q6" authorId="0" shapeId="0" xr:uid="{E37229F2-A3ED-5646-AA66-6ED38CB9AF0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S6" authorId="0" shapeId="0" xr:uid="{354A571A-0247-4640-8005-7A776F58947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Jaar van energielevering (tussen 2013 en 2031)</t>
        </r>
      </text>
    </comment>
    <comment ref="E7" authorId="0" shapeId="0" xr:uid="{3A91C7DD-6FE6-6E4B-9A45-4CD771FE623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G7" authorId="0" shapeId="0" xr:uid="{83379FDF-92C5-A94B-801A-025D2C2B54A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I7" authorId="0" shapeId="0" xr:uid="{0515A106-6673-AE49-BD0F-6822E754FD1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K7" authorId="0" shapeId="0" xr:uid="{3B4EE16E-7BD2-A046-9299-A5A47C88FBB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M7" authorId="0" shapeId="0" xr:uid="{E15626FC-B5DD-3D4C-B244-1C355C2627D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O7" authorId="0" shapeId="0" xr:uid="{264A2E6F-A7CE-D34E-BEF0-9CFDEBF0659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Q7" authorId="0" shapeId="0" xr:uid="{7BE066C8-C024-8D4E-9F16-24FE6C0712E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S7" authorId="0" shapeId="0" xr:uid="{170C51B5-0019-4C44-805E-477C55DE106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geleverd door leverancier (tussen 0 en 10000 kWh)</t>
        </r>
      </text>
    </comment>
    <comment ref="E8" authorId="0" shapeId="0" xr:uid="{EE8E4A05-412C-EB44-A49E-231E8C34A9A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G8" authorId="0" shapeId="0" xr:uid="{3B9DE9A1-9945-6840-B001-F61585EE6A7B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I8" authorId="0" shapeId="0" xr:uid="{ADC589B7-B4D9-844D-BC24-90A3538D6A0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K8" authorId="0" shapeId="0" xr:uid="{D0CCFA0C-9C9F-AD46-BD7B-29EC427CCB7F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M8" authorId="0" shapeId="0" xr:uid="{B5870255-F292-444D-B85E-4EC04B6FFE3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O8" authorId="0" shapeId="0" xr:uid="{530D54FD-CF2C-A34E-B30C-9F2F972F0E79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Q8" authorId="0" shapeId="0" xr:uid="{934750F4-C151-8E46-9B23-4D476D5A749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S8" authorId="0" shapeId="0" xr:uid="{01DACED6-C4B5-B54B-8098-5D96F7BEF86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Hoeveelheid electriciteit teruggeleverd in jaar</t>
        </r>
      </text>
    </comment>
    <comment ref="D10" authorId="0" shapeId="0" xr:uid="{222F228D-E2EE-2549-A0DF-14B554F2BAD8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1" authorId="0" shapeId="0" xr:uid="{8D6BB365-E71A-0948-BB12-A4762A4A089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2" authorId="0" shapeId="0" xr:uid="{68E62EB9-9ABD-FA4C-BE39-72D26FDF6D39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14" authorId="0" shapeId="0" xr:uid="{0D5263B5-A612-D342-8219-AA8EDB8E81B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Uiteraard incl. BTW</t>
        </r>
      </text>
    </comment>
    <comment ref="E14" authorId="0" shapeId="0" xr:uid="{1F4AE5F8-7136-AB4A-B711-6B53795A51A5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G14" authorId="0" shapeId="0" xr:uid="{F3986C41-6381-5D44-BFF5-931E1D043344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I14" authorId="0" shapeId="0" xr:uid="{725C5EAD-26FC-C94E-9A1B-0814BDF47823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K14" authorId="0" shapeId="0" xr:uid="{B14B628D-622F-D742-973B-64BB6F208E8A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M14" authorId="0" shapeId="0" xr:uid="{CD2FB087-D7F7-C340-8B40-DED28184E35D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O14" authorId="0" shapeId="0" xr:uid="{31A94700-ABA1-5549-89D7-022E28163026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Q14" authorId="0" shapeId="0" xr:uid="{D87110C5-0D45-0E47-99C9-A6BDA94FAC69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S14" authorId="0" shapeId="0" xr:uid="{951D9778-1993-3244-BA60-41E751B6293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Kosten &gt;0
</t>
        </r>
        <r>
          <rPr>
            <sz val="10"/>
            <color rgb="FF000000"/>
            <rFont val="Tahoma"/>
            <family val="2"/>
          </rPr>
          <t>Opbrengsten &lt;0</t>
        </r>
      </text>
    </comment>
    <comment ref="D21" authorId="0" shapeId="0" xr:uid="{DD50549E-C8F9-164E-9DB7-5BC866970911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22" authorId="0" shapeId="0" xr:uid="{CEC58F5E-8BEF-8D4F-AF41-D52AD3165E00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Dit bedrag is excl. BTW</t>
        </r>
      </text>
    </comment>
    <comment ref="D24" authorId="0" shapeId="0" xr:uid="{F6067733-58F8-DA42-8AC9-D90105ADCD6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Vast bedrag, want een deel van het energiegebruik is basisbehoefte. Vroeger werd dit heffingkorting genoemd. Dit bedrag is excl. BTW</t>
        </r>
      </text>
    </comment>
    <comment ref="D25" authorId="0" shapeId="0" xr:uid="{0CAE4EBE-C726-B841-A9EE-85D34FD3FC72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100% = geen saldering
</t>
        </r>
        <r>
          <rPr>
            <sz val="10"/>
            <color rgb="FF000000"/>
            <rFont val="Tahoma"/>
            <family val="2"/>
          </rPr>
          <t>0% = max saldering vlgs wetsvoorstel</t>
        </r>
      </text>
    </comment>
    <comment ref="D28" authorId="0" shapeId="0" xr:uid="{5D842E21-802F-2D44-8D39-94C3064511F7}">
      <text>
        <r>
          <rPr>
            <b/>
            <sz val="10"/>
            <color rgb="FF000000"/>
            <rFont val="Tahoma"/>
            <family val="2"/>
          </rPr>
          <t>Johan van der Stoel: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Over dit bedrag worden alle belastingen berekend</t>
        </r>
      </text>
    </comment>
  </commentList>
</comments>
</file>

<file path=xl/sharedStrings.xml><?xml version="1.0" encoding="utf-8"?>
<sst xmlns="http://schemas.openxmlformats.org/spreadsheetml/2006/main" count="169" uniqueCount="40">
  <si>
    <t>Berekening kosten elektriciteit inclusief overheidsheffingen en netwerkkosten</t>
  </si>
  <si>
    <t>Uw electriciteitsverbruik</t>
  </si>
  <si>
    <t>Jaar:</t>
  </si>
  <si>
    <t>Levering: (kWh)</t>
  </si>
  <si>
    <t>Teruglevering: (kWh)</t>
  </si>
  <si>
    <t>Opbrengsten overheid</t>
  </si>
  <si>
    <t>Opbrengsten netwerkbedrijf</t>
  </si>
  <si>
    <t>Opbrengsten energieleverancier</t>
  </si>
  <si>
    <t>Uw totale kosten/opbrengsten</t>
  </si>
  <si>
    <t>Energiebelasting per kWh</t>
  </si>
  <si>
    <t>Berekening</t>
  </si>
  <si>
    <t>ODE per kWh</t>
  </si>
  <si>
    <t>BTW</t>
  </si>
  <si>
    <t>Vermindering energiebelasting per jaar</t>
  </si>
  <si>
    <t>Overheid</t>
  </si>
  <si>
    <t>Netwerkkosten per jaar</t>
  </si>
  <si>
    <t>Netwerkbedrijf</t>
  </si>
  <si>
    <t>Salderingsregeling</t>
  </si>
  <si>
    <t>Vaste leveringskosten per jaar</t>
  </si>
  <si>
    <t>Belastinggrondslag verbruik</t>
  </si>
  <si>
    <t>Instructie voor gebruik</t>
  </si>
  <si>
    <t>1. Vul de gele velden in</t>
  </si>
  <si>
    <t>2. Kolom E mag je zo vaak copieren (naar rechts) als je wilt</t>
  </si>
  <si>
    <t>3. In Tab 3 kun je spelen met de data</t>
  </si>
  <si>
    <t>Terugleveringstarief per kWh</t>
  </si>
  <si>
    <t>Leveringstarief per kWh</t>
  </si>
  <si>
    <t>Situatie nu 100% salderen</t>
  </si>
  <si>
    <t>PV-panelen</t>
  </si>
  <si>
    <t>Zonder panelen</t>
  </si>
  <si>
    <t>Beparing met PV</t>
  </si>
  <si>
    <t>Investering PV-panelen</t>
  </si>
  <si>
    <t>Saldo</t>
  </si>
  <si>
    <t>Levering (kWh)</t>
  </si>
  <si>
    <t>Verbruik zonder PV (kWh)</t>
  </si>
  <si>
    <t>Teruglevering (kWh)</t>
  </si>
  <si>
    <t>Totale kosten zonder PV</t>
  </si>
  <si>
    <t>Totale kosten met PV</t>
  </si>
  <si>
    <t>Berekening terugverdientijd PV-panelen</t>
  </si>
  <si>
    <t>Opbrengst PV-panelen (kWh)</t>
  </si>
  <si>
    <t>Saldo 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</si>
</sst>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_ &quot;€&quot;\ * #,##0.00000_ ;_ &quot;€&quot;\ * \-#,##0.00000_ ;_ &quot;€&quot;\ * &quot;-&quot;??_ ;_ @_ "/>
    <numFmt numFmtId="165" formatCode="_ &quot;€&quot;\ * #,##0.0000_ ;_ &quot;€&quot;\ * \-#,##0.0000_ ;_ &quot;€&quot;\ * &quot;-&quot;??_ ;_ @_ "/>
    <numFmt numFmtId="166" formatCode="_ &quot;€&quot;\ * #,##0.000_ ;_ &quot;€&quot;\ * \-#,##0.000_ ;_ &quot;€&quot;\ * &quot;-&quot;??_ ;_ @_ "/>
    <numFmt numFmtId="167" formatCode="_ &quot;€&quot;\ * #,##0.00_ ;_ &quot;€&quot;\ * \-#,##0.00_ ;_ &quot;€&quot;\ * &quot;-&quot;???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3FB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2" borderId="0" xfId="0" applyFill="1"/>
    <xf numFmtId="164" fontId="0" fillId="0" borderId="0" xfId="1" applyNumberFormat="1" applyFont="1"/>
    <xf numFmtId="165" fontId="0" fillId="0" borderId="0" xfId="1" applyNumberFormat="1" applyFont="1"/>
    <xf numFmtId="9" fontId="0" fillId="0" borderId="0" xfId="0" applyNumberFormat="1"/>
    <xf numFmtId="44" fontId="0" fillId="0" borderId="0" xfId="1" applyFont="1"/>
    <xf numFmtId="44" fontId="0" fillId="2" borderId="0" xfId="1" applyFont="1" applyFill="1"/>
    <xf numFmtId="0" fontId="0" fillId="2" borderId="1" xfId="0" applyFill="1" applyBorder="1"/>
    <xf numFmtId="166" fontId="0" fillId="2" borderId="1" xfId="1" applyNumberFormat="1" applyFont="1" applyFill="1" applyBorder="1"/>
    <xf numFmtId="44" fontId="0" fillId="3" borderId="1" xfId="1" applyFont="1" applyFill="1" applyBorder="1"/>
    <xf numFmtId="0" fontId="0" fillId="5" borderId="0" xfId="0" applyFill="1" applyBorder="1"/>
    <xf numFmtId="0" fontId="2" fillId="5" borderId="0" xfId="0" applyFont="1" applyFill="1" applyBorder="1"/>
    <xf numFmtId="167" fontId="0" fillId="6" borderId="1" xfId="0" applyNumberFormat="1" applyFill="1" applyBorder="1"/>
    <xf numFmtId="44" fontId="0" fillId="6" borderId="1" xfId="0" applyNumberFormat="1" applyFill="1" applyBorder="1"/>
    <xf numFmtId="9" fontId="0" fillId="4" borderId="3" xfId="2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164" fontId="0" fillId="2" borderId="0" xfId="1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0" fontId="5" fillId="5" borderId="0" xfId="0" applyFont="1" applyFill="1" applyBorder="1" applyAlignment="1">
      <alignment horizontal="center"/>
    </xf>
    <xf numFmtId="0" fontId="2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wrapText="1"/>
    </xf>
    <xf numFmtId="0" fontId="0" fillId="5" borderId="0" xfId="0" applyFill="1" applyBorder="1" applyAlignment="1">
      <alignment horizontal="right"/>
    </xf>
    <xf numFmtId="164" fontId="0" fillId="4" borderId="2" xfId="1" applyNumberFormat="1" applyFont="1" applyFill="1" applyBorder="1"/>
    <xf numFmtId="166" fontId="0" fillId="4" borderId="3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6" fontId="0" fillId="5" borderId="0" xfId="1" applyNumberFormat="1" applyFont="1" applyFill="1" applyBorder="1"/>
    <xf numFmtId="44" fontId="0" fillId="5" borderId="0" xfId="1" applyFont="1" applyFill="1" applyBorder="1"/>
    <xf numFmtId="167" fontId="0" fillId="5" borderId="0" xfId="0" applyNumberFormat="1" applyFill="1" applyBorder="1"/>
    <xf numFmtId="44" fontId="0" fillId="5" borderId="0" xfId="0" applyNumberFormat="1" applyFill="1" applyBorder="1"/>
    <xf numFmtId="164" fontId="0" fillId="5" borderId="0" xfId="1" applyNumberFormat="1" applyFont="1" applyFill="1" applyBorder="1"/>
    <xf numFmtId="9" fontId="0" fillId="5" borderId="0" xfId="2" applyFont="1" applyFill="1" applyBorder="1"/>
    <xf numFmtId="0" fontId="5" fillId="5" borderId="0" xfId="0" applyFont="1" applyFill="1" applyBorder="1" applyAlignment="1">
      <alignment horizontal="center"/>
    </xf>
    <xf numFmtId="0" fontId="0" fillId="5" borderId="0" xfId="1" applyNumberFormat="1" applyFont="1" applyFill="1" applyBorder="1" applyAlignment="1"/>
    <xf numFmtId="0" fontId="0" fillId="5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164" fontId="0" fillId="4" borderId="1" xfId="1" applyNumberFormat="1" applyFont="1" applyFill="1" applyBorder="1"/>
    <xf numFmtId="166" fontId="0" fillId="4" borderId="1" xfId="1" applyNumberFormat="1" applyFont="1" applyFill="1" applyBorder="1"/>
    <xf numFmtId="9" fontId="0" fillId="4" borderId="1" xfId="2" applyFont="1" applyFill="1" applyBorder="1"/>
    <xf numFmtId="44" fontId="0" fillId="4" borderId="1" xfId="1" applyFont="1" applyFill="1" applyBorder="1"/>
    <xf numFmtId="44" fontId="0" fillId="3" borderId="1" xfId="0" applyNumberFormat="1" applyFill="1" applyBorder="1"/>
    <xf numFmtId="44" fontId="0" fillId="2" borderId="1" xfId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0" fontId="0" fillId="5" borderId="2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colors>
    <mruColors>
      <color rgb="FF73F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63FB-EF6C-0D4C-8F98-1A7307FDE66B}">
  <dimension ref="B2:AM32"/>
  <sheetViews>
    <sheetView zoomScale="125" workbookViewId="0">
      <selection activeCell="E28" sqref="E28"/>
    </sheetView>
  </sheetViews>
  <sheetFormatPr baseColWidth="10" defaultRowHeight="16" x14ac:dyDescent="0.2"/>
  <cols>
    <col min="1" max="1" width="10.83203125" style="11"/>
    <col min="2" max="2" width="33" style="11" customWidth="1"/>
    <col min="3" max="3" width="4.83203125" style="11" customWidth="1"/>
    <col min="4" max="4" width="35.83203125" style="11" customWidth="1"/>
    <col min="5" max="5" width="17.33203125" style="11" customWidth="1"/>
    <col min="6" max="6" width="4.1640625" style="11" customWidth="1"/>
    <col min="7" max="7" width="17.33203125" style="11" customWidth="1"/>
    <col min="8" max="8" width="4.1640625" style="11" customWidth="1"/>
    <col min="9" max="9" width="17.33203125" style="11" customWidth="1"/>
    <col min="10" max="10" width="4.1640625" style="11" customWidth="1"/>
    <col min="11" max="11" width="17.33203125" style="11" hidden="1" customWidth="1"/>
    <col min="12" max="12" width="4.1640625" style="11" customWidth="1"/>
    <col min="13" max="13" width="17.33203125" style="11" customWidth="1"/>
    <col min="14" max="14" width="4.1640625" style="11" customWidth="1"/>
    <col min="15" max="15" width="17.33203125" style="11" hidden="1" customWidth="1"/>
    <col min="16" max="16" width="4.1640625" style="11" customWidth="1"/>
    <col min="17" max="17" width="17.33203125" style="11" customWidth="1"/>
    <col min="18" max="18" width="4.1640625" style="11" customWidth="1"/>
    <col min="19" max="19" width="17.33203125" style="11" hidden="1" customWidth="1"/>
    <col min="20" max="20" width="4.1640625" style="11" customWidth="1"/>
    <col min="21" max="21" width="17.33203125" style="11" customWidth="1"/>
    <col min="22" max="22" width="4.1640625" style="11" customWidth="1"/>
    <col min="23" max="23" width="17.33203125" style="11" hidden="1" customWidth="1"/>
    <col min="24" max="24" width="3.33203125" style="11" customWidth="1"/>
    <col min="25" max="25" width="17.33203125" style="11" customWidth="1"/>
    <col min="26" max="26" width="3.33203125" style="11" customWidth="1"/>
    <col min="27" max="27" width="17.33203125" style="11" hidden="1" customWidth="1"/>
    <col min="28" max="28" width="4.83203125" style="11" customWidth="1"/>
    <col min="29" max="29" width="17.33203125" style="11" customWidth="1"/>
    <col min="30" max="30" width="4.83203125" style="11" customWidth="1"/>
    <col min="31" max="31" width="17.33203125" style="11" hidden="1" customWidth="1"/>
    <col min="32" max="32" width="4.33203125" style="11" customWidth="1"/>
    <col min="33" max="33" width="17.33203125" style="11" customWidth="1"/>
    <col min="34" max="34" width="10.83203125" style="11"/>
    <col min="35" max="35" width="17.33203125" style="11" hidden="1" customWidth="1"/>
    <col min="36" max="36" width="4.33203125" style="11" customWidth="1"/>
    <col min="37" max="37" width="17.33203125" style="11" customWidth="1"/>
    <col min="38" max="38" width="10.83203125" style="11"/>
    <col min="39" max="39" width="17.33203125" style="11" customWidth="1"/>
    <col min="40" max="16384" width="10.83203125" style="11"/>
  </cols>
  <sheetData>
    <row r="2" spans="2:39" ht="19" x14ac:dyDescent="0.25">
      <c r="B2" s="57" t="s">
        <v>0</v>
      </c>
      <c r="C2" s="57"/>
      <c r="D2" s="57"/>
      <c r="E2" s="57"/>
      <c r="F2" s="29"/>
      <c r="G2" s="31"/>
      <c r="H2" s="29"/>
      <c r="J2" s="29"/>
      <c r="L2" s="29"/>
      <c r="N2" s="29"/>
    </row>
    <row r="4" spans="2:39" ht="17" x14ac:dyDescent="0.2">
      <c r="D4" s="12" t="s">
        <v>1</v>
      </c>
      <c r="E4" s="30"/>
      <c r="F4" s="30"/>
      <c r="G4" s="30"/>
      <c r="H4" s="30"/>
      <c r="I4" s="30"/>
      <c r="J4" s="30"/>
      <c r="K4" s="30" t="s">
        <v>28</v>
      </c>
      <c r="L4" s="30"/>
      <c r="M4" s="30" t="s">
        <v>27</v>
      </c>
      <c r="N4" s="30"/>
      <c r="O4" s="30" t="s">
        <v>28</v>
      </c>
      <c r="P4" s="30"/>
      <c r="Q4" s="30" t="s">
        <v>27</v>
      </c>
      <c r="S4" s="30" t="s">
        <v>28</v>
      </c>
      <c r="T4" s="30"/>
      <c r="U4" s="30" t="s">
        <v>27</v>
      </c>
      <c r="W4" s="30" t="s">
        <v>28</v>
      </c>
      <c r="X4" s="30"/>
      <c r="Y4" s="30" t="s">
        <v>27</v>
      </c>
      <c r="AA4" s="30" t="s">
        <v>28</v>
      </c>
      <c r="AB4" s="30"/>
      <c r="AC4" s="30" t="s">
        <v>27</v>
      </c>
      <c r="AE4" s="30" t="s">
        <v>28</v>
      </c>
      <c r="AF4" s="30"/>
      <c r="AG4" s="30" t="s">
        <v>27</v>
      </c>
      <c r="AI4" s="30" t="s">
        <v>28</v>
      </c>
      <c r="AJ4" s="30"/>
      <c r="AK4" s="30" t="s">
        <v>27</v>
      </c>
      <c r="AM4" s="30" t="s">
        <v>27</v>
      </c>
    </row>
    <row r="5" spans="2:39" x14ac:dyDescent="0.2">
      <c r="D5" s="12"/>
    </row>
    <row r="6" spans="2:39" x14ac:dyDescent="0.2">
      <c r="D6" s="11" t="s">
        <v>2</v>
      </c>
      <c r="E6" s="28">
        <v>2013</v>
      </c>
      <c r="F6" s="32"/>
      <c r="G6" s="28">
        <v>2014</v>
      </c>
      <c r="H6" s="32"/>
      <c r="I6" s="28">
        <v>2015</v>
      </c>
      <c r="J6" s="32"/>
      <c r="K6" s="28">
        <v>2016</v>
      </c>
      <c r="L6" s="32"/>
      <c r="M6" s="28">
        <v>2016</v>
      </c>
      <c r="N6" s="32"/>
      <c r="O6" s="28">
        <v>2017</v>
      </c>
      <c r="Q6" s="28">
        <v>2017</v>
      </c>
      <c r="S6" s="28">
        <v>2018</v>
      </c>
      <c r="U6" s="28">
        <v>2018</v>
      </c>
      <c r="W6" s="28">
        <v>2019</v>
      </c>
      <c r="Y6" s="28">
        <v>2019</v>
      </c>
      <c r="AA6" s="28">
        <v>2020</v>
      </c>
      <c r="AC6" s="28">
        <v>2020</v>
      </c>
      <c r="AE6" s="28">
        <v>2021</v>
      </c>
      <c r="AG6" s="28">
        <v>2021</v>
      </c>
      <c r="AI6" s="28">
        <v>2022</v>
      </c>
      <c r="AK6" s="28">
        <v>2022</v>
      </c>
      <c r="AM6" s="28">
        <v>2031</v>
      </c>
    </row>
    <row r="7" spans="2:39" x14ac:dyDescent="0.2">
      <c r="B7" s="22" t="s">
        <v>20</v>
      </c>
      <c r="D7" s="11" t="s">
        <v>3</v>
      </c>
      <c r="E7" s="8">
        <v>6440</v>
      </c>
      <c r="G7" s="8">
        <v>7215</v>
      </c>
      <c r="I7" s="8">
        <v>7185</v>
      </c>
      <c r="K7" s="8">
        <v>10141</v>
      </c>
      <c r="M7" s="8">
        <v>7990</v>
      </c>
      <c r="O7" s="8">
        <v>9274</v>
      </c>
      <c r="Q7" s="8">
        <v>6989</v>
      </c>
      <c r="S7" s="8">
        <v>8120</v>
      </c>
      <c r="U7" s="8">
        <v>5751</v>
      </c>
      <c r="W7" s="8">
        <v>8405</v>
      </c>
      <c r="Y7" s="8">
        <v>6258</v>
      </c>
      <c r="AA7" s="8">
        <v>8040</v>
      </c>
      <c r="AC7" s="8">
        <v>5481</v>
      </c>
      <c r="AE7" s="8">
        <v>9390</v>
      </c>
      <c r="AG7" s="8">
        <v>6540</v>
      </c>
      <c r="AI7" s="8">
        <v>9390</v>
      </c>
      <c r="AK7" s="8">
        <v>6540</v>
      </c>
      <c r="AM7" s="8">
        <v>6540</v>
      </c>
    </row>
    <row r="8" spans="2:39" x14ac:dyDescent="0.2">
      <c r="B8" s="23" t="s">
        <v>21</v>
      </c>
      <c r="D8" s="11" t="s">
        <v>4</v>
      </c>
      <c r="E8" s="8">
        <v>0</v>
      </c>
      <c r="G8" s="8">
        <v>0</v>
      </c>
      <c r="I8" s="8">
        <v>0</v>
      </c>
      <c r="K8" s="8"/>
      <c r="M8" s="8">
        <v>2443</v>
      </c>
      <c r="O8" s="8"/>
      <c r="Q8" s="8">
        <v>2420</v>
      </c>
      <c r="S8" s="8"/>
      <c r="U8" s="8">
        <v>3026</v>
      </c>
      <c r="W8" s="8"/>
      <c r="Y8" s="8">
        <v>2102</v>
      </c>
      <c r="AA8" s="8"/>
      <c r="AC8" s="8">
        <v>6201</v>
      </c>
      <c r="AE8" s="8"/>
      <c r="AG8" s="8">
        <v>6763</v>
      </c>
      <c r="AI8" s="8"/>
      <c r="AK8" s="8">
        <v>6763</v>
      </c>
      <c r="AM8" s="8">
        <v>6763</v>
      </c>
    </row>
    <row r="9" spans="2:39" ht="34" x14ac:dyDescent="0.2">
      <c r="B9" s="24" t="s">
        <v>22</v>
      </c>
    </row>
    <row r="10" spans="2:39" x14ac:dyDescent="0.2">
      <c r="B10" s="23" t="s">
        <v>23</v>
      </c>
      <c r="D10" s="11" t="s">
        <v>25</v>
      </c>
      <c r="E10" s="9">
        <v>3.6999999999999998E-2</v>
      </c>
      <c r="F10" s="33"/>
      <c r="G10" s="9">
        <v>4.2000000000000003E-2</v>
      </c>
      <c r="H10" s="33"/>
      <c r="I10" s="9">
        <v>4.2999999999999997E-2</v>
      </c>
      <c r="J10" s="33"/>
      <c r="K10" s="9">
        <v>0.05</v>
      </c>
      <c r="L10" s="33"/>
      <c r="M10" s="9">
        <v>0.05</v>
      </c>
      <c r="N10" s="33"/>
      <c r="O10" s="9">
        <v>4.5999999999999999E-2</v>
      </c>
      <c r="Q10" s="9">
        <v>4.5999999999999999E-2</v>
      </c>
      <c r="S10" s="9">
        <v>5.5E-2</v>
      </c>
      <c r="U10" s="9">
        <v>5.5E-2</v>
      </c>
      <c r="W10" s="9">
        <v>6.5000000000000002E-2</v>
      </c>
      <c r="Y10" s="9">
        <v>6.5000000000000002E-2</v>
      </c>
      <c r="AA10" s="9">
        <v>0.1</v>
      </c>
      <c r="AC10" s="9">
        <v>0.1</v>
      </c>
      <c r="AE10" s="9">
        <v>0.11</v>
      </c>
      <c r="AG10" s="9">
        <v>0.11</v>
      </c>
      <c r="AI10" s="9">
        <v>0.37</v>
      </c>
      <c r="AK10" s="9">
        <v>0.37</v>
      </c>
      <c r="AM10" s="9">
        <v>0.37</v>
      </c>
    </row>
    <row r="11" spans="2:39" x14ac:dyDescent="0.2">
      <c r="D11" s="11" t="s">
        <v>24</v>
      </c>
      <c r="E11" s="9">
        <v>0</v>
      </c>
      <c r="F11" s="33"/>
      <c r="G11" s="9">
        <v>0</v>
      </c>
      <c r="H11" s="33"/>
      <c r="I11" s="9">
        <v>0</v>
      </c>
      <c r="J11" s="33"/>
      <c r="K11" s="9">
        <v>0.04</v>
      </c>
      <c r="L11" s="33"/>
      <c r="M11" s="9">
        <v>0.04</v>
      </c>
      <c r="N11" s="33"/>
      <c r="O11" s="9">
        <f>O10</f>
        <v>4.5999999999999999E-2</v>
      </c>
      <c r="Q11" s="9">
        <f>Q10</f>
        <v>4.5999999999999999E-2</v>
      </c>
      <c r="S11" s="9">
        <f>S10</f>
        <v>5.5E-2</v>
      </c>
      <c r="U11" s="9">
        <f>U10</f>
        <v>5.5E-2</v>
      </c>
      <c r="W11" s="9">
        <f>W10</f>
        <v>6.5000000000000002E-2</v>
      </c>
      <c r="Y11" s="9">
        <f>Y10</f>
        <v>6.5000000000000002E-2</v>
      </c>
      <c r="AA11" s="9">
        <f>AA10</f>
        <v>0.1</v>
      </c>
      <c r="AC11" s="9">
        <f>AC10</f>
        <v>0.1</v>
      </c>
      <c r="AE11" s="9">
        <f>AE10</f>
        <v>0.11</v>
      </c>
      <c r="AG11" s="9">
        <f>AG10</f>
        <v>0.11</v>
      </c>
      <c r="AI11" s="9">
        <f>AI10</f>
        <v>0.37</v>
      </c>
      <c r="AK11" s="9">
        <f>AK10</f>
        <v>0.37</v>
      </c>
      <c r="AM11" s="9">
        <f>AM10</f>
        <v>0.37</v>
      </c>
    </row>
    <row r="12" spans="2:39" x14ac:dyDescent="0.2">
      <c r="D12" s="11" t="s">
        <v>18</v>
      </c>
      <c r="E12" s="9">
        <v>70</v>
      </c>
      <c r="F12" s="33"/>
      <c r="G12" s="9">
        <v>26</v>
      </c>
      <c r="H12" s="33"/>
      <c r="I12" s="9">
        <v>21</v>
      </c>
      <c r="J12" s="33"/>
      <c r="K12" s="9">
        <v>39</v>
      </c>
      <c r="L12" s="33"/>
      <c r="M12" s="9">
        <v>39</v>
      </c>
      <c r="N12" s="33"/>
      <c r="O12" s="9">
        <v>48</v>
      </c>
      <c r="Q12" s="9">
        <v>48</v>
      </c>
      <c r="S12" s="9">
        <v>41</v>
      </c>
      <c r="U12" s="9">
        <v>41</v>
      </c>
      <c r="W12" s="9">
        <v>49</v>
      </c>
      <c r="Y12" s="9">
        <v>49</v>
      </c>
      <c r="AA12" s="9">
        <v>45</v>
      </c>
      <c r="AC12" s="9">
        <v>45</v>
      </c>
      <c r="AE12" s="9">
        <v>34</v>
      </c>
      <c r="AG12" s="9">
        <v>34</v>
      </c>
      <c r="AI12" s="9">
        <v>34</v>
      </c>
      <c r="AK12" s="9">
        <v>34</v>
      </c>
      <c r="AM12" s="9">
        <v>34</v>
      </c>
    </row>
    <row r="14" spans="2:39" x14ac:dyDescent="0.2">
      <c r="D14" s="11" t="s">
        <v>8</v>
      </c>
      <c r="E14" s="10">
        <f>SUM(E16:E18)</f>
        <v>1076.9532400000001</v>
      </c>
      <c r="F14" s="34"/>
      <c r="G14" s="10">
        <f>SUM(G16:G18)</f>
        <v>1308.42382</v>
      </c>
      <c r="H14" s="34"/>
      <c r="I14" s="10">
        <f>SUM(I16:I18)</f>
        <v>1320.6266700000001</v>
      </c>
      <c r="J14" s="34"/>
      <c r="K14" s="10">
        <f>SUM(K16:K18)</f>
        <v>1818.143943</v>
      </c>
      <c r="L14" s="34"/>
      <c r="M14" s="10">
        <f>SUM(M16:M18)</f>
        <v>978.87318099999982</v>
      </c>
      <c r="N14" s="34"/>
      <c r="O14" s="10">
        <f>SUM(O16:O18)</f>
        <v>1638.2768379999998</v>
      </c>
      <c r="Q14" s="10">
        <f>SUM(Q16:Q18)</f>
        <v>757.562003</v>
      </c>
      <c r="S14" s="10">
        <f>SUM(S16:S18)</f>
        <v>1598.1481560000002</v>
      </c>
      <c r="U14" s="10">
        <f>SUM(U16:U18)</f>
        <v>470.24895500000002</v>
      </c>
      <c r="W14" s="10">
        <f>SUM(W16:W18)</f>
        <v>1812.3590245</v>
      </c>
      <c r="Y14" s="10">
        <f>SUM(Y16:Y18)</f>
        <v>874.12501239999995</v>
      </c>
      <c r="AA14" s="10">
        <f>SUM(AA16:AA18)</f>
        <v>2204.35412</v>
      </c>
      <c r="AC14" s="10">
        <f>SUM(AC16:AC18)</f>
        <v>-327.51279999999986</v>
      </c>
      <c r="AE14" s="10">
        <f>SUM(AE16:AE18)</f>
        <v>2662.0356949999996</v>
      </c>
      <c r="AG14" s="10">
        <f>SUM(AG16:AG18)</f>
        <v>-326.28436499999998</v>
      </c>
      <c r="AI14" s="10">
        <f>SUM(AI16:AI18)</f>
        <v>4384.2948449999994</v>
      </c>
      <c r="AK14" s="10">
        <f>SUM(AK16:AK18)</f>
        <v>-585.2505249999997</v>
      </c>
      <c r="AM14" s="10">
        <f>SUM(AM16:AM18)</f>
        <v>28.523693000000151</v>
      </c>
    </row>
    <row r="16" spans="2:39" x14ac:dyDescent="0.2">
      <c r="D16" s="11" t="s">
        <v>5</v>
      </c>
      <c r="E16" s="13">
        <f>E23*(E18+E17)+(1+E23)*(E28*(E21+E22)-E24)</f>
        <v>625.63324</v>
      </c>
      <c r="F16" s="35"/>
      <c r="G16" s="13">
        <f>G23*(G18+G17)+(1+G23)*(G28*(G21+G22)-G24)</f>
        <v>780.03381999999988</v>
      </c>
      <c r="H16" s="35"/>
      <c r="I16" s="13">
        <f>I23*(I18+I17)+(1+I23)*(I28*(I21+I22)-I24)</f>
        <v>802.55167000000006</v>
      </c>
      <c r="J16" s="35"/>
      <c r="K16" s="13">
        <f>K23*(K18+K17)+(1+K23)*(K28*(K21+K22)-K24)</f>
        <v>1082.723943</v>
      </c>
      <c r="L16" s="35"/>
      <c r="M16" s="13">
        <f>M23*(M18+M17)+(1+M23)*(M28*(M21+M22)-M24)</f>
        <v>448.7231809999999</v>
      </c>
      <c r="N16" s="35"/>
      <c r="O16" s="13">
        <f>O23*(O18+O17)+(1+O23)*(O28*(O21+O22)-O24)</f>
        <v>983.87283799999989</v>
      </c>
      <c r="Q16" s="13">
        <f>Q23*(Q18+Q17)+(1+Q23)*(Q28*(Q21+Q22)-Q24)</f>
        <v>319.58800299999996</v>
      </c>
      <c r="S16" s="13">
        <f>S23*(S18+S17)+(1+S23)*(S28*(S21+S22)-S24)</f>
        <v>925.19815600000015</v>
      </c>
      <c r="U16" s="13">
        <f>U23*(U18+U17)+(1+U23)*(U28*(U21+U22)-U24)</f>
        <v>94.023955000000015</v>
      </c>
      <c r="W16" s="13">
        <f>W23*(W18+W17)+(1+W23)*(W28*(W21+W22)-W24)</f>
        <v>1026.5050988801652</v>
      </c>
      <c r="Y16" s="13">
        <f>Y23*(Y18+Y17)+(1+Y23)*(Y28*(Y21+Y22)-Y24)</f>
        <v>364.45608678016521</v>
      </c>
      <c r="AA16" s="13">
        <f>AA23*(AA18+AA17)+(1+AA23)*(AA28*(AA21+AA22)-AA24)</f>
        <v>1163.3458555371899</v>
      </c>
      <c r="AC16" s="13">
        <f>AC23*(AC18+AC17)+(1+AC23)*(AC28*(AC21+AC22)-AC24)</f>
        <v>-492.52106446280987</v>
      </c>
      <c r="AE16" s="13">
        <f>AE23*(AE18+AE17)+(1+AE23)*(AE28*(AE21+AE22)-AE24)</f>
        <v>1387.8521949999995</v>
      </c>
      <c r="AG16" s="13">
        <f>AG23*(AG18+AG17)+(1+AG23)*(AG28*(AG21+AG22)-AG24)</f>
        <v>-543.03786500000001</v>
      </c>
      <c r="AI16" s="13">
        <f>AI23*(AI18+AI17)+(1+AI23)*(AI28*(AI21+AI22)-AI24)</f>
        <v>654.76834499999984</v>
      </c>
      <c r="AK16" s="13">
        <f>AK23*(AK18+AK17)+(1+AK23)*(AK28*(AK21+AK22)-AK24)</f>
        <v>-757.96702499999992</v>
      </c>
      <c r="AM16" s="13">
        <f>AM23*(AM18+AM17)+(1+AM23)*(AM28*(AM21+AM22)-AM24)</f>
        <v>-144.19280700000007</v>
      </c>
    </row>
    <row r="17" spans="2:39" x14ac:dyDescent="0.2">
      <c r="D17" s="11" t="s">
        <v>7</v>
      </c>
      <c r="E17" s="13">
        <f>E10*E7-E11*E8+E12</f>
        <v>308.27999999999997</v>
      </c>
      <c r="F17" s="35"/>
      <c r="G17" s="13">
        <f>G10*G7-G11*G8+G12</f>
        <v>329.03000000000003</v>
      </c>
      <c r="H17" s="35"/>
      <c r="I17" s="13">
        <f>I10*I7-I11*I8+I12</f>
        <v>329.95499999999998</v>
      </c>
      <c r="J17" s="35"/>
      <c r="K17" s="13">
        <f>K10*K7-K11*K8+K12</f>
        <v>546.04999999999995</v>
      </c>
      <c r="L17" s="35"/>
      <c r="M17" s="13">
        <f>M10*M7-M11*M8+M12</f>
        <v>340.78</v>
      </c>
      <c r="N17" s="35"/>
      <c r="O17" s="13">
        <f>O10*O7-O11*O8+O12</f>
        <v>474.60399999999998</v>
      </c>
      <c r="Q17" s="13">
        <f>Q10*Q7-Q11*Q8+Q12</f>
        <v>258.17399999999998</v>
      </c>
      <c r="S17" s="13">
        <f>S10*S7-S11*S8+S12</f>
        <v>487.6</v>
      </c>
      <c r="U17" s="13">
        <f>U10*U7-U11*U8+U12</f>
        <v>190.875</v>
      </c>
      <c r="W17" s="13">
        <f>W10*W7-W11*W8+W12</f>
        <v>595.32500000000005</v>
      </c>
      <c r="Y17" s="13">
        <f>Y10*Y7-Y11*Y8+Y12</f>
        <v>319.14000000000004</v>
      </c>
      <c r="AA17" s="13">
        <f>AA10*AA7-AA11*AA8+AA12</f>
        <v>849</v>
      </c>
      <c r="AC17" s="13">
        <f>AC10*AC7-AC11*AC8+AC12</f>
        <v>-27</v>
      </c>
      <c r="AE17" s="13">
        <f>AE10*AE7-AE11*AE8+AE12</f>
        <v>1066.9000000000001</v>
      </c>
      <c r="AG17" s="13">
        <f>AG10*AG7-AG11*AG8+AG12</f>
        <v>9.4700000000000273</v>
      </c>
      <c r="AI17" s="13">
        <f>AI10*AI7-AI11*AI8+AI12</f>
        <v>3508.3</v>
      </c>
      <c r="AK17" s="13">
        <f>AK10*AK7-AK11*AK8+AK12</f>
        <v>-48.509999999999764</v>
      </c>
      <c r="AM17" s="13">
        <f>AM10*AM7-AM11*AM8+AM12</f>
        <v>-48.509999999999764</v>
      </c>
    </row>
    <row r="18" spans="2:39" x14ac:dyDescent="0.2">
      <c r="D18" s="11" t="s">
        <v>6</v>
      </c>
      <c r="E18" s="14">
        <f>E26</f>
        <v>143.04</v>
      </c>
      <c r="F18" s="36"/>
      <c r="G18" s="14">
        <f>G26</f>
        <v>199.36</v>
      </c>
      <c r="H18" s="36"/>
      <c r="I18" s="14">
        <f>I26</f>
        <v>188.12</v>
      </c>
      <c r="J18" s="36"/>
      <c r="K18" s="14">
        <f>K26</f>
        <v>189.37</v>
      </c>
      <c r="L18" s="36"/>
      <c r="M18" s="14">
        <f>M26</f>
        <v>189.37</v>
      </c>
      <c r="N18" s="36"/>
      <c r="O18" s="14">
        <f>O26</f>
        <v>179.8</v>
      </c>
      <c r="Q18" s="14">
        <f>Q26</f>
        <v>179.8</v>
      </c>
      <c r="S18" s="14">
        <f>S26</f>
        <v>185.35</v>
      </c>
      <c r="U18" s="14">
        <f>U26</f>
        <v>185.35</v>
      </c>
      <c r="W18" s="14">
        <f>W26</f>
        <v>190.52892561983472</v>
      </c>
      <c r="Y18" s="14">
        <f>Y26</f>
        <v>190.52892561983472</v>
      </c>
      <c r="AA18" s="14">
        <f>AA26</f>
        <v>192.00826446280993</v>
      </c>
      <c r="AC18" s="14">
        <f>AC26</f>
        <v>192.00826446280993</v>
      </c>
      <c r="AE18" s="14">
        <f>AE26</f>
        <v>207.28349999999998</v>
      </c>
      <c r="AG18" s="14">
        <f>AG26</f>
        <v>207.28349999999998</v>
      </c>
      <c r="AI18" s="14">
        <f>AI26</f>
        <v>221.22649999999999</v>
      </c>
      <c r="AK18" s="14">
        <f>AK26</f>
        <v>221.22649999999999</v>
      </c>
      <c r="AM18" s="14">
        <f>AM26</f>
        <v>221.22649999999999</v>
      </c>
    </row>
    <row r="20" spans="2:39" x14ac:dyDescent="0.2">
      <c r="D20" s="12" t="s">
        <v>10</v>
      </c>
    </row>
    <row r="21" spans="2:39" x14ac:dyDescent="0.2">
      <c r="B21" s="25" t="s">
        <v>14</v>
      </c>
      <c r="D21" s="11" t="s">
        <v>9</v>
      </c>
      <c r="E21" s="26">
        <f>HLOOKUP('Berekening Johan'!E$6,Data!$C$5:$U$11,2,TRUE)</f>
        <v>0.11650000000000001</v>
      </c>
      <c r="F21" s="37"/>
      <c r="G21" s="26">
        <f>HLOOKUP('Berekening Johan'!G$6,Data!$C$5:$U$11,2,TRUE)</f>
        <v>0.11849999999999999</v>
      </c>
      <c r="H21" s="37"/>
      <c r="I21" s="26">
        <f>HLOOKUP('Berekening Johan'!I$6,Data!$C$5:$U$11,2,TRUE)</f>
        <v>0.1196</v>
      </c>
      <c r="J21" s="37"/>
      <c r="K21" s="26">
        <f>HLOOKUP('Berekening Johan'!K$6,Data!$C$5:$U$11,2,TRUE)</f>
        <v>0.1007</v>
      </c>
      <c r="L21" s="37"/>
      <c r="M21" s="26">
        <f>HLOOKUP('Berekening Johan'!M$6,Data!$C$5:$U$11,2,TRUE)</f>
        <v>0.1007</v>
      </c>
      <c r="N21" s="37"/>
      <c r="O21" s="26">
        <f>HLOOKUP('Berekening Johan'!O$6,Data!$C$5:$U$11,2,TRUE)</f>
        <v>0.1013</v>
      </c>
      <c r="Q21" s="26">
        <f>HLOOKUP('Berekening Johan'!Q$6,Data!$C$5:$U$11,2,TRUE)</f>
        <v>0.1013</v>
      </c>
      <c r="S21" s="26">
        <f>HLOOKUP('Berekening Johan'!S$6,Data!$C$5:$U$11,2,TRUE)</f>
        <v>0.10458000000000001</v>
      </c>
      <c r="U21" s="26">
        <f>HLOOKUP('Berekening Johan'!U$6,Data!$C$5:$U$11,2,TRUE)</f>
        <v>0.10458000000000001</v>
      </c>
      <c r="W21" s="26">
        <f>HLOOKUP('Berekening Johan'!W$6,Data!$C$5:$U$11,2,TRUE)</f>
        <v>9.8589999999999997E-2</v>
      </c>
      <c r="Y21" s="26">
        <f>HLOOKUP('Berekening Johan'!Y$6,Data!$C$5:$U$11,2,TRUE)</f>
        <v>9.8589999999999997E-2</v>
      </c>
      <c r="AA21" s="26">
        <f>HLOOKUP('Berekening Johan'!AA$6,Data!$C$5:$U$11,2,TRUE)</f>
        <v>0.1183</v>
      </c>
      <c r="AC21" s="26">
        <f>HLOOKUP('Berekening Johan'!AC$6,Data!$C$5:$U$11,2,TRUE)</f>
        <v>0.1183</v>
      </c>
      <c r="AE21" s="26">
        <f>HLOOKUP('Berekening Johan'!AE$6,Data!$C$5:$U$11,2,TRUE)</f>
        <v>0.11409999999999999</v>
      </c>
      <c r="AG21" s="26">
        <f>HLOOKUP('Berekening Johan'!AG$6,Data!$C$5:$U$11,2,TRUE)</f>
        <v>0.11409999999999999</v>
      </c>
      <c r="AI21" s="26">
        <f>HLOOKUP('Berekening Johan'!AI$6,Data!$C$5:$U$11,2,TRUE)</f>
        <v>4.4519999999999997E-2</v>
      </c>
      <c r="AK21" s="26">
        <f>HLOOKUP('Berekening Johan'!AK$6,Data!$C$5:$U$11,2,TRUE)</f>
        <v>4.4519999999999997E-2</v>
      </c>
      <c r="AM21" s="26">
        <f>HLOOKUP('Berekening Johan'!AM$6,Data!$C$5:$U$11,2,TRUE)</f>
        <v>4.4519999999999997E-2</v>
      </c>
    </row>
    <row r="22" spans="2:39" x14ac:dyDescent="0.2">
      <c r="B22" s="25" t="s">
        <v>14</v>
      </c>
      <c r="D22" s="11" t="s">
        <v>11</v>
      </c>
      <c r="E22" s="27">
        <f>HLOOKUP('Berekening Johan'!E$6,Data!$C$5:$U$11,3,TRUE)</f>
        <v>1.1000000000000001E-3</v>
      </c>
      <c r="F22" s="33"/>
      <c r="G22" s="27">
        <f>HLOOKUP('Berekening Johan'!G$6,Data!$C$5:$U$11,3,TRUE)</f>
        <v>2.3E-3</v>
      </c>
      <c r="H22" s="33"/>
      <c r="I22" s="27">
        <f>HLOOKUP('Berekening Johan'!I$6,Data!$C$5:$U$11,3,TRUE)</f>
        <v>3.5999999999999999E-3</v>
      </c>
      <c r="J22" s="33"/>
      <c r="K22" s="27">
        <f>HLOOKUP('Berekening Johan'!K$6,Data!$C$5:$U$11,3,TRUE)</f>
        <v>5.5999999999999999E-3</v>
      </c>
      <c r="L22" s="33"/>
      <c r="M22" s="27">
        <f>HLOOKUP('Berekening Johan'!M$6,Data!$C$5:$U$11,3,TRUE)</f>
        <v>5.5999999999999999E-3</v>
      </c>
      <c r="N22" s="33"/>
      <c r="O22" s="27">
        <f>HLOOKUP('Berekening Johan'!O$6,Data!$C$5:$U$11,3,TRUE)</f>
        <v>7.4000000000000003E-3</v>
      </c>
      <c r="Q22" s="27">
        <f>HLOOKUP('Berekening Johan'!Q$6,Data!$C$5:$U$11,3,TRUE)</f>
        <v>7.4000000000000003E-3</v>
      </c>
      <c r="S22" s="27">
        <f>HLOOKUP('Berekening Johan'!S$6,Data!$C$5:$U$11,3,TRUE)</f>
        <v>1.32E-2</v>
      </c>
      <c r="U22" s="27">
        <f>HLOOKUP('Berekening Johan'!U$6,Data!$C$5:$U$11,3,TRUE)</f>
        <v>1.32E-2</v>
      </c>
      <c r="W22" s="27">
        <f>HLOOKUP('Berekening Johan'!W$6,Data!$C$5:$U$11,3,TRUE)</f>
        <v>1.89E-2</v>
      </c>
      <c r="Y22" s="27">
        <f>HLOOKUP('Berekening Johan'!Y$6,Data!$C$5:$U$11,3,TRUE)</f>
        <v>1.89E-2</v>
      </c>
      <c r="AA22" s="27">
        <f>HLOOKUP('Berekening Johan'!AA$6,Data!$C$5:$U$11,3,TRUE)</f>
        <v>3.3000000000000002E-2</v>
      </c>
      <c r="AC22" s="27">
        <f>HLOOKUP('Berekening Johan'!AC$6,Data!$C$5:$U$11,3,TRUE)</f>
        <v>3.3000000000000002E-2</v>
      </c>
      <c r="AE22" s="27">
        <f>HLOOKUP('Berekening Johan'!AE$6,Data!$C$5:$U$11,3,TRUE)</f>
        <v>3.6299999999999999E-2</v>
      </c>
      <c r="AG22" s="27">
        <f>HLOOKUP('Berekening Johan'!AG$6,Data!$C$5:$U$11,3,TRUE)</f>
        <v>3.6299999999999999E-2</v>
      </c>
      <c r="AI22" s="27">
        <f>HLOOKUP('Berekening Johan'!AI$6,Data!$C$5:$U$11,3,TRUE)</f>
        <v>3.6900000000000002E-2</v>
      </c>
      <c r="AK22" s="27">
        <f>HLOOKUP('Berekening Johan'!AK$6,Data!$C$5:$U$11,3,TRUE)</f>
        <v>3.6900000000000002E-2</v>
      </c>
      <c r="AM22" s="27">
        <f>HLOOKUP('Berekening Johan'!AM$6,Data!$C$5:$U$11,3,TRUE)</f>
        <v>3.6900000000000002E-2</v>
      </c>
    </row>
    <row r="23" spans="2:39" x14ac:dyDescent="0.2">
      <c r="B23" s="25" t="s">
        <v>14</v>
      </c>
      <c r="D23" s="11" t="s">
        <v>12</v>
      </c>
      <c r="E23" s="15">
        <f>HLOOKUP('Berekening Johan'!E$6,Data!$C$5:$U$11,4,TRUE)</f>
        <v>0.21</v>
      </c>
      <c r="F23" s="38"/>
      <c r="G23" s="15">
        <f>HLOOKUP('Berekening Johan'!G$6,Data!$C$5:$U$11,4,TRUE)</f>
        <v>0.21</v>
      </c>
      <c r="H23" s="38"/>
      <c r="I23" s="15">
        <f>HLOOKUP('Berekening Johan'!I$6,Data!$C$5:$U$11,4,TRUE)</f>
        <v>0.21</v>
      </c>
      <c r="J23" s="38"/>
      <c r="K23" s="15">
        <f>HLOOKUP('Berekening Johan'!K$6,Data!$C$5:$U$11,4,TRUE)</f>
        <v>0.21</v>
      </c>
      <c r="L23" s="38"/>
      <c r="M23" s="15">
        <f>HLOOKUP('Berekening Johan'!M$6,Data!$C$5:$U$11,4,TRUE)</f>
        <v>0.21</v>
      </c>
      <c r="N23" s="38"/>
      <c r="O23" s="15">
        <f>HLOOKUP('Berekening Johan'!O$6,Data!$C$5:$U$11,4,TRUE)</f>
        <v>0.21</v>
      </c>
      <c r="Q23" s="15">
        <f>HLOOKUP('Berekening Johan'!Q$6,Data!$C$5:$U$11,4,TRUE)</f>
        <v>0.21</v>
      </c>
      <c r="S23" s="15">
        <f>HLOOKUP('Berekening Johan'!S$6,Data!$C$5:$U$11,4,TRUE)</f>
        <v>0.21</v>
      </c>
      <c r="U23" s="15">
        <f>HLOOKUP('Berekening Johan'!U$6,Data!$C$5:$U$11,4,TRUE)</f>
        <v>0.21</v>
      </c>
      <c r="W23" s="15">
        <f>HLOOKUP('Berekening Johan'!W$6,Data!$C$5:$U$11,4,TRUE)</f>
        <v>0.21</v>
      </c>
      <c r="Y23" s="15">
        <f>HLOOKUP('Berekening Johan'!Y$6,Data!$C$5:$U$11,4,TRUE)</f>
        <v>0.21</v>
      </c>
      <c r="AA23" s="15">
        <f>HLOOKUP('Berekening Johan'!AA$6,Data!$C$5:$U$11,4,TRUE)</f>
        <v>0.21</v>
      </c>
      <c r="AC23" s="15">
        <f>HLOOKUP('Berekening Johan'!AC$6,Data!$C$5:$U$11,4,TRUE)</f>
        <v>0.21</v>
      </c>
      <c r="AE23" s="15">
        <f>HLOOKUP('Berekening Johan'!AE$6,Data!$C$5:$U$11,4,TRUE)</f>
        <v>0.21</v>
      </c>
      <c r="AG23" s="15">
        <f>HLOOKUP('Berekening Johan'!AG$6,Data!$C$5:$U$11,4,TRUE)</f>
        <v>0.21</v>
      </c>
      <c r="AI23" s="15">
        <f>HLOOKUP('Berekening Johan'!AI$6,Data!$C$5:$U$11,4,TRUE)</f>
        <v>0.15</v>
      </c>
      <c r="AK23" s="15">
        <f>HLOOKUP('Berekening Johan'!AK$6,Data!$C$5:$U$11,4,TRUE)</f>
        <v>0.15</v>
      </c>
      <c r="AM23" s="15">
        <f>HLOOKUP('Berekening Johan'!AM$6,Data!$C$5:$U$11,4,TRUE)</f>
        <v>0.21</v>
      </c>
    </row>
    <row r="24" spans="2:39" x14ac:dyDescent="0.2">
      <c r="B24" s="25" t="s">
        <v>14</v>
      </c>
      <c r="D24" s="11" t="s">
        <v>13</v>
      </c>
      <c r="E24" s="16">
        <f>HLOOKUP('Berekening Johan'!E$6,Data!$C$5:$U$11,5,TRUE)</f>
        <v>318.62</v>
      </c>
      <c r="F24" s="34"/>
      <c r="G24" s="16">
        <f>HLOOKUP('Berekening Johan'!G$6,Data!$C$5:$U$11,5,TRUE)</f>
        <v>318.62</v>
      </c>
      <c r="H24" s="34"/>
      <c r="I24" s="16">
        <f>HLOOKUP('Berekening Johan'!I$6,Data!$C$5:$U$11,5,TRUE)</f>
        <v>311.83999999999997</v>
      </c>
      <c r="J24" s="34"/>
      <c r="K24" s="16">
        <f>HLOOKUP('Berekening Johan'!K$6,Data!$C$5:$U$11,5,TRUE)</f>
        <v>310.81</v>
      </c>
      <c r="L24" s="34"/>
      <c r="M24" s="16">
        <f>HLOOKUP('Berekening Johan'!M$6,Data!$C$5:$U$11,5,TRUE)</f>
        <v>310.81</v>
      </c>
      <c r="N24" s="34"/>
      <c r="O24" s="16">
        <f>HLOOKUP('Berekening Johan'!O$6,Data!$C$5:$U$11,5,TRUE)</f>
        <v>308.54000000000002</v>
      </c>
      <c r="Q24" s="16">
        <f>HLOOKUP('Berekening Johan'!Q$6,Data!$C$5:$U$11,5,TRUE)</f>
        <v>308.54000000000002</v>
      </c>
      <c r="S24" s="16">
        <f>HLOOKUP('Berekening Johan'!S$6,Data!$C$5:$U$11,5,TRUE)</f>
        <v>308.54000000000002</v>
      </c>
      <c r="U24" s="16">
        <f>HLOOKUP('Berekening Johan'!U$6,Data!$C$5:$U$11,5,TRUE)</f>
        <v>308.54000000000002</v>
      </c>
      <c r="W24" s="16">
        <f>HLOOKUP('Berekening Johan'!W$6,Data!$C$5:$U$11,5,TRUE)</f>
        <v>275.54000000000002</v>
      </c>
      <c r="Y24" s="16">
        <f>HLOOKUP('Berekening Johan'!Y$6,Data!$C$5:$U$11,5,TRUE)</f>
        <v>275.54000000000002</v>
      </c>
      <c r="AA24" s="16">
        <f>HLOOKUP('Berekening Johan'!AA$6,Data!$C$5:$U$11,5,TRUE)</f>
        <v>435.68</v>
      </c>
      <c r="AC24" s="16">
        <f>HLOOKUP('Berekening Johan'!AC$6,Data!$C$5:$U$11,5,TRUE)</f>
        <v>435.68</v>
      </c>
      <c r="AE24" s="16">
        <f>HLOOKUP('Berekening Johan'!AE$6,Data!$C$5:$U$11,5,TRUE)</f>
        <v>486.41</v>
      </c>
      <c r="AG24" s="16">
        <f>HLOOKUP('Berekening Johan'!AG$6,Data!$C$5:$U$11,5,TRUE)</f>
        <v>486.41</v>
      </c>
      <c r="AI24" s="16">
        <f>HLOOKUP('Berekening Johan'!AI$6,Data!$C$5:$U$11,5,TRUE)</f>
        <v>681.63</v>
      </c>
      <c r="AK24" s="16">
        <f>HLOOKUP('Berekening Johan'!AK$6,Data!$C$5:$U$11,5,TRUE)</f>
        <v>681.63</v>
      </c>
      <c r="AM24" s="16">
        <f>HLOOKUP('Berekening Johan'!AM$6,Data!$C$5:$U$11,5,TRUE)</f>
        <v>681.63</v>
      </c>
    </row>
    <row r="25" spans="2:39" x14ac:dyDescent="0.2">
      <c r="B25" s="25" t="s">
        <v>14</v>
      </c>
      <c r="D25" s="11" t="s">
        <v>17</v>
      </c>
      <c r="E25" s="15">
        <f>HLOOKUP('Berekening Johan'!E$6,Data!$C$5:$U$11,6,TRUE)</f>
        <v>1</v>
      </c>
      <c r="F25" s="38"/>
      <c r="G25" s="15">
        <f>HLOOKUP('Berekening Johan'!G$6,Data!$C$5:$U$11,6,TRUE)</f>
        <v>1</v>
      </c>
      <c r="H25" s="38"/>
      <c r="I25" s="15">
        <f>HLOOKUP('Berekening Johan'!I$6,Data!$C$5:$U$11,6,TRUE)</f>
        <v>1</v>
      </c>
      <c r="J25" s="38"/>
      <c r="K25" s="15">
        <f>HLOOKUP('Berekening Johan'!K$6,Data!$C$5:$U$11,6,TRUE)</f>
        <v>1</v>
      </c>
      <c r="L25" s="38"/>
      <c r="M25" s="15">
        <f>HLOOKUP('Berekening Johan'!M$6,Data!$C$5:$U$11,6,TRUE)</f>
        <v>1</v>
      </c>
      <c r="N25" s="38"/>
      <c r="O25" s="15">
        <f>HLOOKUP('Berekening Johan'!O$6,Data!$C$5:$U$11,6,TRUE)</f>
        <v>1</v>
      </c>
      <c r="Q25" s="15">
        <f>HLOOKUP('Berekening Johan'!Q$6,Data!$C$5:$U$11,6,TRUE)</f>
        <v>1</v>
      </c>
      <c r="S25" s="15">
        <f>HLOOKUP('Berekening Johan'!S$6,Data!$C$5:$U$11,6,TRUE)</f>
        <v>1</v>
      </c>
      <c r="U25" s="15">
        <f>HLOOKUP('Berekening Johan'!U$6,Data!$C$5:$U$11,6,TRUE)</f>
        <v>1</v>
      </c>
      <c r="W25" s="15">
        <f>HLOOKUP('Berekening Johan'!W$6,Data!$C$5:$U$11,6,TRUE)</f>
        <v>1</v>
      </c>
      <c r="Y25" s="15">
        <f>HLOOKUP('Berekening Johan'!Y$6,Data!$C$5:$U$11,6,TRUE)</f>
        <v>1</v>
      </c>
      <c r="AA25" s="15">
        <f>HLOOKUP('Berekening Johan'!AA$6,Data!$C$5:$U$11,6,TRUE)</f>
        <v>1</v>
      </c>
      <c r="AC25" s="15">
        <f>HLOOKUP('Berekening Johan'!AC$6,Data!$C$5:$U$11,6,TRUE)</f>
        <v>1</v>
      </c>
      <c r="AE25" s="15">
        <f>HLOOKUP('Berekening Johan'!AE$6,Data!$C$5:$U$11,6,TRUE)</f>
        <v>1</v>
      </c>
      <c r="AG25" s="15">
        <f>HLOOKUP('Berekening Johan'!AG$6,Data!$C$5:$U$11,6,TRUE)</f>
        <v>1</v>
      </c>
      <c r="AI25" s="15">
        <f>HLOOKUP('Berekening Johan'!AI$6,Data!$C$5:$U$11,6,TRUE)</f>
        <v>1</v>
      </c>
      <c r="AK25" s="15">
        <f>HLOOKUP('Berekening Johan'!AK$6,Data!$C$5:$U$11,6,TRUE)</f>
        <v>1</v>
      </c>
      <c r="AM25" s="15">
        <f>HLOOKUP('Berekening Johan'!AM$6,Data!$C$5:$U$11,6,TRUE)</f>
        <v>0</v>
      </c>
    </row>
    <row r="26" spans="2:39" x14ac:dyDescent="0.2">
      <c r="B26" s="25" t="s">
        <v>16</v>
      </c>
      <c r="D26" s="11" t="s">
        <v>15</v>
      </c>
      <c r="E26" s="17">
        <f>HLOOKUP('Berekening Johan'!E$6,Data!$C$5:$U$11,7,TRUE)</f>
        <v>143.04</v>
      </c>
      <c r="F26" s="34"/>
      <c r="G26" s="17">
        <f>HLOOKUP('Berekening Johan'!G$6,Data!$C$5:$U$11,7,TRUE)</f>
        <v>199.36</v>
      </c>
      <c r="H26" s="34"/>
      <c r="I26" s="17">
        <f>HLOOKUP('Berekening Johan'!I$6,Data!$C$5:$U$11,7,TRUE)</f>
        <v>188.12</v>
      </c>
      <c r="J26" s="34"/>
      <c r="K26" s="17">
        <f>HLOOKUP('Berekening Johan'!K$6,Data!$C$5:$U$11,7,TRUE)</f>
        <v>189.37</v>
      </c>
      <c r="L26" s="34"/>
      <c r="M26" s="17">
        <f>HLOOKUP('Berekening Johan'!M$6,Data!$C$5:$U$11,7,TRUE)</f>
        <v>189.37</v>
      </c>
      <c r="N26" s="34"/>
      <c r="O26" s="17">
        <f>HLOOKUP('Berekening Johan'!O$6,Data!$C$5:$U$11,7,TRUE)</f>
        <v>179.8</v>
      </c>
      <c r="Q26" s="17">
        <f>HLOOKUP('Berekening Johan'!Q$6,Data!$C$5:$U$11,7,TRUE)</f>
        <v>179.8</v>
      </c>
      <c r="S26" s="17">
        <f>HLOOKUP('Berekening Johan'!S$6,Data!$C$5:$U$11,7,TRUE)</f>
        <v>185.35</v>
      </c>
      <c r="U26" s="17">
        <f>HLOOKUP('Berekening Johan'!U$6,Data!$C$5:$U$11,7,TRUE)</f>
        <v>185.35</v>
      </c>
      <c r="W26" s="17">
        <f>HLOOKUP('Berekening Johan'!W$6,Data!$C$5:$U$11,7,TRUE)</f>
        <v>190.52892561983472</v>
      </c>
      <c r="Y26" s="17">
        <f>HLOOKUP('Berekening Johan'!Y$6,Data!$C$5:$U$11,7,TRUE)</f>
        <v>190.52892561983472</v>
      </c>
      <c r="AA26" s="17">
        <f>HLOOKUP('Berekening Johan'!AA$6,Data!$C$5:$U$11,7,TRUE)</f>
        <v>192.00826446280993</v>
      </c>
      <c r="AC26" s="17">
        <f>HLOOKUP('Berekening Johan'!AC$6,Data!$C$5:$U$11,7,TRUE)</f>
        <v>192.00826446280993</v>
      </c>
      <c r="AE26" s="17">
        <f>HLOOKUP('Berekening Johan'!AE$6,Data!$C$5:$U$11,7,TRUE)</f>
        <v>207.28349999999998</v>
      </c>
      <c r="AG26" s="17">
        <f>HLOOKUP('Berekening Johan'!AG$6,Data!$C$5:$U$11,7,TRUE)</f>
        <v>207.28349999999998</v>
      </c>
      <c r="AI26" s="17">
        <f>HLOOKUP('Berekening Johan'!AI$6,Data!$C$5:$U$11,7,TRUE)</f>
        <v>221.22649999999999</v>
      </c>
      <c r="AK26" s="17">
        <f>HLOOKUP('Berekening Johan'!AK$6,Data!$C$5:$U$11,7,TRUE)</f>
        <v>221.22649999999999</v>
      </c>
      <c r="AM26" s="17">
        <f>HLOOKUP('Berekening Johan'!AM$6,Data!$C$5:$U$11,7,TRUE)</f>
        <v>221.22649999999999</v>
      </c>
    </row>
    <row r="28" spans="2:39" x14ac:dyDescent="0.2">
      <c r="D28" s="11" t="s">
        <v>19</v>
      </c>
      <c r="E28" s="11">
        <f>IF(E8&gt;=E7,(1-E25)*E7,E7-E25*E8)</f>
        <v>6440</v>
      </c>
      <c r="G28" s="11">
        <f>IF(G8&gt;=G7,(1-G25)*G7,G7-G25*G8)</f>
        <v>7215</v>
      </c>
      <c r="I28" s="11">
        <f>IF(I8&gt;=I7,(1-I25)*I7,I7-I25*I8)</f>
        <v>7185</v>
      </c>
      <c r="K28" s="11">
        <f>IF(K8&gt;=K7,(1-K25)*K7,K7-K25*K8)</f>
        <v>10141</v>
      </c>
      <c r="M28" s="11">
        <f>IF(M8&gt;=M7,(1-M25)*M7,M7-M25*M8)</f>
        <v>5547</v>
      </c>
      <c r="O28" s="11">
        <f>IF(O8&gt;=O7,(1-O25)*O7,O7-O25*O8)</f>
        <v>9274</v>
      </c>
      <c r="Q28" s="11">
        <f>IF(Q8&gt;=Q7,(1-Q25)*Q7,Q7-Q25*Q8)</f>
        <v>4569</v>
      </c>
      <c r="S28" s="11">
        <f>IF(S8&gt;=S7,(1-S25)*S7,S7-S25*S8)</f>
        <v>8120</v>
      </c>
      <c r="U28" s="11">
        <f>IF(U8&gt;=U7,(1-U25)*U7,U7-U25*U8)</f>
        <v>2725</v>
      </c>
      <c r="W28" s="11">
        <f>IF(W8&gt;=W7,(1-W25)*W7,W7-W25*W8)</f>
        <v>8405</v>
      </c>
      <c r="Y28" s="11">
        <f>IF(Y8&gt;=Y7,(1-Y25)*Y7,Y7-Y25*Y8)</f>
        <v>4156</v>
      </c>
      <c r="AA28" s="11">
        <f>IF(AA8&gt;=AA7,(1-AA25)*AA7,AA7-AA25*AA8)</f>
        <v>8040</v>
      </c>
      <c r="AC28" s="11">
        <f>IF(AC8&gt;=AC7,(1-AC25)*AC7,AC7-AC25*AC8)</f>
        <v>0</v>
      </c>
      <c r="AE28" s="11">
        <f>IF(AE8&gt;=AE7,(1-AE25)*AE7,AE7-AE25*AE8)</f>
        <v>9390</v>
      </c>
      <c r="AG28" s="11">
        <f>IF(AG8&gt;=AG7,(1-AG25)*AG7,AG7-AG25*AG8)</f>
        <v>0</v>
      </c>
      <c r="AI28" s="11">
        <f>IF(AI8&gt;=AI7,(1-AI25)*AI7,AI7-AI25*AI8)</f>
        <v>9390</v>
      </c>
      <c r="AK28" s="11">
        <f>IF(AK8&gt;=AK7,(1-AK25)*AK7,AK7-AK25*AK8)</f>
        <v>0</v>
      </c>
      <c r="AM28" s="11">
        <f>IF(AM8&gt;=AM7,(1-AM25)*AM7,AM7-AM25*AM8)</f>
        <v>6540</v>
      </c>
    </row>
    <row r="30" spans="2:39" x14ac:dyDescent="0.2">
      <c r="D30" s="11" t="s">
        <v>29</v>
      </c>
      <c r="M30" s="36">
        <f>K14-M14</f>
        <v>839.27076200000022</v>
      </c>
      <c r="Q30" s="36">
        <f>O14-Q14</f>
        <v>880.71483499999977</v>
      </c>
      <c r="U30" s="36">
        <f>S14-U14</f>
        <v>1127.8992010000002</v>
      </c>
      <c r="Y30" s="36">
        <f>W14-Y14</f>
        <v>938.23401210000009</v>
      </c>
      <c r="AC30" s="36">
        <f>AA14-AC14</f>
        <v>2531.8669199999999</v>
      </c>
      <c r="AG30" s="36">
        <f>AE14-AG14</f>
        <v>2988.3200599999996</v>
      </c>
      <c r="AK30" s="36">
        <f>AI14-AK14</f>
        <v>4969.5453699999989</v>
      </c>
      <c r="AM30" s="36">
        <f>AK14-AM14</f>
        <v>-613.77421799999979</v>
      </c>
    </row>
    <row r="31" spans="2:39" x14ac:dyDescent="0.2">
      <c r="D31" s="11" t="s">
        <v>30</v>
      </c>
      <c r="M31" s="11">
        <f>5037+3548+701-1474</f>
        <v>7812</v>
      </c>
      <c r="AC31" s="11">
        <v>5300</v>
      </c>
    </row>
    <row r="32" spans="2:39" x14ac:dyDescent="0.2">
      <c r="K32" s="11" t="s">
        <v>31</v>
      </c>
      <c r="M32" s="36">
        <f>M31-M30</f>
        <v>6972.7292379999999</v>
      </c>
      <c r="Q32" s="36">
        <f>M32-Q30+Q31</f>
        <v>6092.0144030000001</v>
      </c>
      <c r="U32" s="36">
        <f>Q32-U30+U31</f>
        <v>4964.115202</v>
      </c>
      <c r="Y32" s="36">
        <f>U32-Y30+Y31</f>
        <v>4025.8811898999998</v>
      </c>
      <c r="AC32" s="36">
        <f>Y32-AC30+AC31</f>
        <v>6794.0142698999998</v>
      </c>
      <c r="AG32" s="36">
        <f>AC32-AG30+AG31</f>
        <v>3805.6942099000003</v>
      </c>
      <c r="AK32" s="36">
        <f>AG32-AK30+AK31</f>
        <v>-1163.8511600999987</v>
      </c>
      <c r="AM32" s="36">
        <f>AI32-AM30+AM31</f>
        <v>613.77421799999979</v>
      </c>
    </row>
  </sheetData>
  <mergeCells count="1">
    <mergeCell ref="B2:E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68FF-7A9C-984F-866C-31B965882CB3}">
  <dimension ref="A2:AH42"/>
  <sheetViews>
    <sheetView tabSelected="1" topLeftCell="C1" workbookViewId="0">
      <selection activeCell="P32" sqref="P32"/>
    </sheetView>
  </sheetViews>
  <sheetFormatPr baseColWidth="10" defaultRowHeight="16" x14ac:dyDescent="0.2"/>
  <cols>
    <col min="1" max="1" width="14.1640625" style="11" hidden="1" customWidth="1"/>
    <col min="2" max="2" width="38" style="11" hidden="1" customWidth="1"/>
    <col min="3" max="3" width="4.83203125" style="11" customWidth="1"/>
    <col min="4" max="4" width="35.5" style="11" customWidth="1"/>
    <col min="5" max="5" width="4.1640625" style="11" hidden="1" customWidth="1"/>
    <col min="6" max="6" width="9.33203125" style="11" hidden="1" customWidth="1"/>
    <col min="7" max="7" width="6.1640625" style="11" hidden="1" customWidth="1"/>
    <col min="8" max="8" width="17.33203125" style="11" customWidth="1"/>
    <col min="9" max="9" width="4.1640625" style="11" hidden="1" customWidth="1"/>
    <col min="10" max="10" width="17.33203125" style="11" hidden="1" customWidth="1"/>
    <col min="11" max="11" width="4.1640625" style="11" customWidth="1"/>
    <col min="12" max="12" width="17.33203125" style="11" customWidth="1"/>
    <col min="13" max="13" width="4.1640625" style="11" hidden="1" customWidth="1"/>
    <col min="14" max="14" width="17.33203125" style="11" hidden="1" customWidth="1"/>
    <col min="15" max="15" width="4.1640625" style="11" customWidth="1"/>
    <col min="16" max="16" width="17.33203125" style="11" customWidth="1"/>
    <col min="17" max="17" width="4.1640625" style="11" hidden="1" customWidth="1"/>
    <col min="18" max="18" width="17.33203125" style="11" hidden="1" customWidth="1"/>
    <col min="19" max="19" width="3.33203125" style="11" customWidth="1"/>
    <col min="20" max="20" width="17.33203125" style="11" customWidth="1"/>
    <col min="21" max="21" width="3.33203125" style="11" customWidth="1"/>
    <col min="22" max="22" width="17.33203125" style="11" hidden="1" customWidth="1"/>
    <col min="23" max="23" width="4.83203125" style="11" hidden="1" customWidth="1"/>
    <col min="24" max="24" width="17.33203125" style="11" customWidth="1"/>
    <col min="25" max="25" width="3.5" style="11" customWidth="1"/>
    <col min="26" max="26" width="17.33203125" style="11" hidden="1" customWidth="1"/>
    <col min="27" max="27" width="4.33203125" style="11" hidden="1" customWidth="1"/>
    <col min="28" max="28" width="17.33203125" style="11" customWidth="1"/>
    <col min="29" max="29" width="0" style="11" hidden="1" customWidth="1"/>
    <col min="30" max="30" width="17.33203125" style="11" hidden="1" customWidth="1"/>
    <col min="31" max="31" width="3.5" style="11" customWidth="1"/>
    <col min="32" max="32" width="17.33203125" style="11" customWidth="1"/>
    <col min="33" max="33" width="0" style="11" hidden="1" customWidth="1"/>
    <col min="34" max="34" width="17.33203125" style="11" hidden="1" customWidth="1"/>
    <col min="35" max="16384" width="10.83203125" style="11"/>
  </cols>
  <sheetData>
    <row r="2" spans="2:34" ht="19" x14ac:dyDescent="0.25">
      <c r="E2" s="39"/>
      <c r="G2" s="39"/>
      <c r="H2" s="56" t="s">
        <v>37</v>
      </c>
      <c r="I2" s="56"/>
      <c r="J2" s="56"/>
    </row>
    <row r="4" spans="2:34" ht="34" hidden="1" x14ac:dyDescent="0.2">
      <c r="D4" s="12" t="s">
        <v>1</v>
      </c>
      <c r="E4" s="30"/>
      <c r="F4" s="30" t="s">
        <v>28</v>
      </c>
      <c r="G4" s="30"/>
      <c r="H4" s="30" t="s">
        <v>27</v>
      </c>
      <c r="I4" s="30"/>
      <c r="J4" s="30" t="s">
        <v>28</v>
      </c>
      <c r="K4" s="30"/>
      <c r="L4" s="30" t="s">
        <v>27</v>
      </c>
      <c r="N4" s="30" t="s">
        <v>28</v>
      </c>
      <c r="O4" s="30"/>
      <c r="P4" s="30" t="s">
        <v>27</v>
      </c>
      <c r="R4" s="30" t="s">
        <v>28</v>
      </c>
      <c r="S4" s="30"/>
      <c r="T4" s="30" t="s">
        <v>27</v>
      </c>
      <c r="V4" s="30" t="s">
        <v>28</v>
      </c>
      <c r="W4" s="30"/>
      <c r="X4" s="30" t="s">
        <v>27</v>
      </c>
      <c r="Z4" s="30" t="s">
        <v>28</v>
      </c>
      <c r="AA4" s="30"/>
      <c r="AB4" s="30" t="s">
        <v>27</v>
      </c>
      <c r="AD4" s="30" t="s">
        <v>28</v>
      </c>
      <c r="AE4" s="30"/>
      <c r="AF4" s="30" t="s">
        <v>27</v>
      </c>
      <c r="AH4" s="30" t="s">
        <v>27</v>
      </c>
    </row>
    <row r="5" spans="2:34" x14ac:dyDescent="0.2">
      <c r="D5" s="12"/>
    </row>
    <row r="6" spans="2:34" x14ac:dyDescent="0.2">
      <c r="D6" s="12" t="s">
        <v>2</v>
      </c>
      <c r="E6" s="32"/>
      <c r="F6" s="28">
        <v>2016</v>
      </c>
      <c r="G6" s="32"/>
      <c r="H6" s="28">
        <v>2016</v>
      </c>
      <c r="I6" s="32"/>
      <c r="J6" s="28">
        <v>2017</v>
      </c>
      <c r="L6" s="28">
        <v>2017</v>
      </c>
      <c r="N6" s="28">
        <v>2018</v>
      </c>
      <c r="P6" s="28">
        <v>2018</v>
      </c>
      <c r="R6" s="28">
        <v>2019</v>
      </c>
      <c r="T6" s="28">
        <v>2019</v>
      </c>
      <c r="V6" s="28">
        <v>2020</v>
      </c>
      <c r="X6" s="28">
        <v>2020</v>
      </c>
      <c r="Z6" s="28">
        <v>2021</v>
      </c>
      <c r="AB6" s="28">
        <v>2021</v>
      </c>
      <c r="AD6" s="28">
        <v>2022</v>
      </c>
      <c r="AF6" s="28">
        <v>2022</v>
      </c>
      <c r="AH6" s="28">
        <v>2031</v>
      </c>
    </row>
    <row r="7" spans="2:34" hidden="1" x14ac:dyDescent="0.2">
      <c r="B7" s="22" t="s">
        <v>20</v>
      </c>
      <c r="D7" s="11" t="s">
        <v>3</v>
      </c>
      <c r="F7" s="8">
        <v>10141</v>
      </c>
      <c r="H7" s="8">
        <v>7990</v>
      </c>
      <c r="J7" s="8">
        <v>9274</v>
      </c>
      <c r="L7" s="8">
        <v>6989</v>
      </c>
      <c r="N7" s="8">
        <v>8120</v>
      </c>
      <c r="P7" s="8">
        <v>5751</v>
      </c>
      <c r="R7" s="8">
        <v>8405</v>
      </c>
      <c r="T7" s="8">
        <v>6258</v>
      </c>
      <c r="V7" s="8">
        <v>8040</v>
      </c>
      <c r="X7" s="8">
        <v>5481</v>
      </c>
      <c r="Z7" s="8">
        <v>9390</v>
      </c>
      <c r="AB7" s="8">
        <v>6540</v>
      </c>
      <c r="AD7" s="8">
        <v>9390</v>
      </c>
      <c r="AF7" s="8">
        <v>6540</v>
      </c>
      <c r="AH7" s="8">
        <v>6540</v>
      </c>
    </row>
    <row r="8" spans="2:34" hidden="1" x14ac:dyDescent="0.2">
      <c r="B8" s="23" t="s">
        <v>21</v>
      </c>
      <c r="D8" s="11" t="s">
        <v>4</v>
      </c>
      <c r="F8" s="8"/>
      <c r="H8" s="8">
        <v>2443</v>
      </c>
      <c r="J8" s="8"/>
      <c r="L8" s="8">
        <v>2420</v>
      </c>
      <c r="N8" s="8"/>
      <c r="P8" s="8">
        <v>3026</v>
      </c>
      <c r="R8" s="8"/>
      <c r="T8" s="8">
        <v>2102</v>
      </c>
      <c r="V8" s="8"/>
      <c r="X8" s="8">
        <v>6201</v>
      </c>
      <c r="Z8" s="8"/>
      <c r="AB8" s="8">
        <v>6763</v>
      </c>
      <c r="AD8" s="8"/>
      <c r="AF8" s="8">
        <v>6763</v>
      </c>
      <c r="AH8" s="8">
        <v>6763</v>
      </c>
    </row>
    <row r="9" spans="2:34" ht="34" hidden="1" x14ac:dyDescent="0.2">
      <c r="B9" s="24" t="s">
        <v>22</v>
      </c>
      <c r="P9" s="43"/>
      <c r="T9" s="43"/>
    </row>
    <row r="10" spans="2:34" hidden="1" x14ac:dyDescent="0.2">
      <c r="B10" s="23" t="s">
        <v>23</v>
      </c>
      <c r="D10" s="11" t="s">
        <v>25</v>
      </c>
      <c r="E10" s="33"/>
      <c r="F10" s="9">
        <v>0.05</v>
      </c>
      <c r="G10" s="33"/>
      <c r="H10" s="9">
        <v>0.05</v>
      </c>
      <c r="I10" s="33"/>
      <c r="J10" s="9">
        <v>4.5999999999999999E-2</v>
      </c>
      <c r="L10" s="9">
        <v>4.5999999999999999E-2</v>
      </c>
      <c r="N10" s="9">
        <v>5.5E-2</v>
      </c>
      <c r="P10" s="9">
        <v>5.5E-2</v>
      </c>
      <c r="R10" s="9">
        <v>6.5000000000000002E-2</v>
      </c>
      <c r="T10" s="9">
        <v>6.5000000000000002E-2</v>
      </c>
      <c r="V10" s="9">
        <v>0.1</v>
      </c>
      <c r="X10" s="9">
        <v>0.1</v>
      </c>
      <c r="Z10" s="9">
        <v>0.11</v>
      </c>
      <c r="AB10" s="9">
        <v>0.11</v>
      </c>
      <c r="AD10" s="9">
        <v>0.37</v>
      </c>
      <c r="AF10" s="9">
        <v>0.37</v>
      </c>
      <c r="AH10" s="9">
        <v>0.37</v>
      </c>
    </row>
    <row r="11" spans="2:34" hidden="1" x14ac:dyDescent="0.2">
      <c r="D11" s="11" t="s">
        <v>24</v>
      </c>
      <c r="E11" s="33"/>
      <c r="F11" s="9">
        <v>0.04</v>
      </c>
      <c r="G11" s="33"/>
      <c r="H11" s="9">
        <v>0.04</v>
      </c>
      <c r="I11" s="33"/>
      <c r="J11" s="9">
        <f>J10</f>
        <v>4.5999999999999999E-2</v>
      </c>
      <c r="L11" s="9">
        <f>L10</f>
        <v>4.5999999999999999E-2</v>
      </c>
      <c r="N11" s="9">
        <f>N10</f>
        <v>5.5E-2</v>
      </c>
      <c r="P11" s="9">
        <f>P10</f>
        <v>5.5E-2</v>
      </c>
      <c r="R11" s="9">
        <f>R10</f>
        <v>6.5000000000000002E-2</v>
      </c>
      <c r="T11" s="9">
        <f>T10</f>
        <v>6.5000000000000002E-2</v>
      </c>
      <c r="V11" s="9">
        <f>V10</f>
        <v>0.1</v>
      </c>
      <c r="X11" s="9">
        <f>X10</f>
        <v>0.1</v>
      </c>
      <c r="Z11" s="9">
        <f>Z10</f>
        <v>0.11</v>
      </c>
      <c r="AB11" s="9">
        <f>AB10</f>
        <v>0.11</v>
      </c>
      <c r="AD11" s="9">
        <f>AD10</f>
        <v>0.37</v>
      </c>
      <c r="AF11" s="9">
        <f>AF10</f>
        <v>0.37</v>
      </c>
      <c r="AH11" s="9">
        <f>AH10</f>
        <v>0.37</v>
      </c>
    </row>
    <row r="12" spans="2:34" hidden="1" x14ac:dyDescent="0.2">
      <c r="D12" s="11" t="s">
        <v>18</v>
      </c>
      <c r="E12" s="33"/>
      <c r="F12" s="9">
        <v>39</v>
      </c>
      <c r="G12" s="33"/>
      <c r="H12" s="9">
        <v>39</v>
      </c>
      <c r="I12" s="33"/>
      <c r="J12" s="9">
        <v>48</v>
      </c>
      <c r="L12" s="9">
        <v>48</v>
      </c>
      <c r="N12" s="9">
        <v>41</v>
      </c>
      <c r="P12" s="9">
        <v>41</v>
      </c>
      <c r="R12" s="9">
        <v>49</v>
      </c>
      <c r="T12" s="9">
        <v>49</v>
      </c>
      <c r="V12" s="9">
        <v>45</v>
      </c>
      <c r="X12" s="9">
        <v>45</v>
      </c>
      <c r="Z12" s="9">
        <v>34</v>
      </c>
      <c r="AB12" s="9">
        <v>34</v>
      </c>
      <c r="AD12" s="9">
        <v>34</v>
      </c>
      <c r="AF12" s="9">
        <v>34</v>
      </c>
      <c r="AH12" s="9">
        <v>34</v>
      </c>
    </row>
    <row r="13" spans="2:34" hidden="1" x14ac:dyDescent="0.2">
      <c r="P13" s="43"/>
      <c r="T13" s="43"/>
    </row>
    <row r="14" spans="2:34" hidden="1" x14ac:dyDescent="0.2">
      <c r="D14" s="11" t="s">
        <v>8</v>
      </c>
      <c r="E14" s="34"/>
      <c r="F14" s="10">
        <f>SUM(F16:F18)</f>
        <v>1818.143943</v>
      </c>
      <c r="G14" s="34"/>
      <c r="H14" s="10">
        <f>SUM(H16:H18)</f>
        <v>978.87318099999982</v>
      </c>
      <c r="I14" s="34"/>
      <c r="J14" s="10">
        <f>SUM(J16:J18)</f>
        <v>1638.2768379999998</v>
      </c>
      <c r="L14" s="10">
        <f>SUM(L16:L18)</f>
        <v>757.562003</v>
      </c>
      <c r="N14" s="10">
        <f>SUM(N16:N18)</f>
        <v>1598.1481560000002</v>
      </c>
      <c r="P14" s="10">
        <f>SUM(P16:P18)</f>
        <v>470.24895500000002</v>
      </c>
      <c r="R14" s="10">
        <f>SUM(R16:R18)</f>
        <v>1812.3590245</v>
      </c>
      <c r="T14" s="10">
        <f>SUM(T16:T18)</f>
        <v>874.12501239999995</v>
      </c>
      <c r="V14" s="10">
        <f>SUM(V16:V18)</f>
        <v>2204.35412</v>
      </c>
      <c r="X14" s="10">
        <f>SUM(X16:X18)</f>
        <v>-327.51279999999986</v>
      </c>
      <c r="Z14" s="10">
        <f>SUM(Z16:Z18)</f>
        <v>2662.0356949999996</v>
      </c>
      <c r="AB14" s="10">
        <f>SUM(AB16:AB18)</f>
        <v>-326.28436499999998</v>
      </c>
      <c r="AD14" s="10">
        <f>SUM(AD16:AD18)</f>
        <v>4384.2948449999994</v>
      </c>
      <c r="AF14" s="10">
        <f>SUM(AF16:AF18)</f>
        <v>-585.2505249999997</v>
      </c>
      <c r="AH14" s="10">
        <f>SUM(AH16:AH18)</f>
        <v>28.523693000000151</v>
      </c>
    </row>
    <row r="15" spans="2:34" hidden="1" x14ac:dyDescent="0.2">
      <c r="P15" s="43"/>
      <c r="T15" s="43"/>
    </row>
    <row r="16" spans="2:34" hidden="1" x14ac:dyDescent="0.2">
      <c r="D16" s="11" t="s">
        <v>5</v>
      </c>
      <c r="E16" s="35"/>
      <c r="F16" s="13">
        <f>F23*(F18+F17)+(1+F23)*(F28*(F21+F22)-F24)</f>
        <v>1082.723943</v>
      </c>
      <c r="G16" s="35"/>
      <c r="H16" s="13">
        <f>H23*(H18+H17)+(1+H23)*(H28*(H21+H22)-H24)</f>
        <v>448.7231809999999</v>
      </c>
      <c r="I16" s="35"/>
      <c r="J16" s="13">
        <f>J23*(J18+J17)+(1+J23)*(J28*(J21+J22)-J24)</f>
        <v>983.87283799999989</v>
      </c>
      <c r="L16" s="13">
        <f>L23*(L18+L17)+(1+L23)*(L28*(L21+L22)-L24)</f>
        <v>319.58800299999996</v>
      </c>
      <c r="N16" s="13">
        <f>N23*(N18+N17)+(1+N23)*(N28*(N21+N22)-N24)</f>
        <v>925.19815600000015</v>
      </c>
      <c r="P16" s="13">
        <f>P23*(P18+P17)+(1+P23)*(P28*(P21+P22)-P24)</f>
        <v>94.023955000000015</v>
      </c>
      <c r="R16" s="13">
        <f>R23*(R18+R17)+(1+R23)*(R28*(R21+R22)-R24)</f>
        <v>1026.5050988801652</v>
      </c>
      <c r="T16" s="13">
        <f>T23*(T18+T17)+(1+T23)*(T28*(T21+T22)-T24)</f>
        <v>364.45608678016521</v>
      </c>
      <c r="V16" s="13">
        <f>V23*(V18+V17)+(1+V23)*(V28*(V21+V22)-V24)</f>
        <v>1163.3458555371899</v>
      </c>
      <c r="X16" s="13">
        <f>X23*(X18+X17)+(1+X23)*(X28*(X21+X22)-X24)</f>
        <v>-492.52106446280987</v>
      </c>
      <c r="Z16" s="13">
        <f>Z23*(Z18+Z17)+(1+Z23)*(Z28*(Z21+Z22)-Z24)</f>
        <v>1387.8521949999995</v>
      </c>
      <c r="AB16" s="13">
        <f>AB23*(AB18+AB17)+(1+AB23)*(AB28*(AB21+AB22)-AB24)</f>
        <v>-543.03786500000001</v>
      </c>
      <c r="AD16" s="13">
        <f>AD23*(AD18+AD17)+(1+AD23)*(AD28*(AD21+AD22)-AD24)</f>
        <v>654.76834499999984</v>
      </c>
      <c r="AF16" s="13">
        <f>AF23*(AF18+AF17)+(1+AF23)*(AF28*(AF21+AF22)-AF24)</f>
        <v>-757.96702499999992</v>
      </c>
      <c r="AH16" s="13">
        <f>AH23*(AH18+AH17)+(1+AH23)*(AH28*(AH21+AH22)-AH24)</f>
        <v>-144.19280700000007</v>
      </c>
    </row>
    <row r="17" spans="2:34" hidden="1" x14ac:dyDescent="0.2">
      <c r="D17" s="11" t="s">
        <v>7</v>
      </c>
      <c r="E17" s="35"/>
      <c r="F17" s="13">
        <f>F10*F7-F11*F8+F12</f>
        <v>546.04999999999995</v>
      </c>
      <c r="G17" s="35"/>
      <c r="H17" s="13">
        <f>H10*H7-H11*H8+H12</f>
        <v>340.78</v>
      </c>
      <c r="I17" s="35"/>
      <c r="J17" s="13">
        <f>J10*J7-J11*J8+J12</f>
        <v>474.60399999999998</v>
      </c>
      <c r="L17" s="13">
        <f>L10*L7-L11*L8+L12</f>
        <v>258.17399999999998</v>
      </c>
      <c r="N17" s="13">
        <f>N10*N7-N11*N8+N12</f>
        <v>487.6</v>
      </c>
      <c r="P17" s="13">
        <f>P10*P7-P11*P8+P12</f>
        <v>190.875</v>
      </c>
      <c r="R17" s="13">
        <f>R10*R7-R11*R8+R12</f>
        <v>595.32500000000005</v>
      </c>
      <c r="T17" s="13">
        <f>T10*T7-T11*T8+T12</f>
        <v>319.14000000000004</v>
      </c>
      <c r="V17" s="13">
        <f>V10*V7-V11*V8+V12</f>
        <v>849</v>
      </c>
      <c r="X17" s="13">
        <f>X10*X7-X11*X8+X12</f>
        <v>-27</v>
      </c>
      <c r="Z17" s="13">
        <f>Z10*Z7-Z11*Z8+Z12</f>
        <v>1066.9000000000001</v>
      </c>
      <c r="AB17" s="13">
        <f>AB10*AB7-AB11*AB8+AB12</f>
        <v>9.4700000000000273</v>
      </c>
      <c r="AD17" s="13">
        <f>AD10*AD7-AD11*AD8+AD12</f>
        <v>3508.3</v>
      </c>
      <c r="AF17" s="13">
        <f>AF10*AF7-AF11*AF8+AF12</f>
        <v>-48.509999999999764</v>
      </c>
      <c r="AH17" s="13">
        <f>AH10*AH7-AH11*AH8+AH12</f>
        <v>-48.509999999999764</v>
      </c>
    </row>
    <row r="18" spans="2:34" hidden="1" x14ac:dyDescent="0.2">
      <c r="D18" s="11" t="s">
        <v>6</v>
      </c>
      <c r="E18" s="36"/>
      <c r="F18" s="14">
        <f>F26</f>
        <v>189.37</v>
      </c>
      <c r="G18" s="36"/>
      <c r="H18" s="14">
        <f>H26</f>
        <v>189.37</v>
      </c>
      <c r="I18" s="36"/>
      <c r="J18" s="14">
        <f>J26</f>
        <v>179.8</v>
      </c>
      <c r="L18" s="14">
        <f>L26</f>
        <v>179.8</v>
      </c>
      <c r="N18" s="14">
        <f>N26</f>
        <v>185.35</v>
      </c>
      <c r="P18" s="14">
        <f>P26</f>
        <v>185.35</v>
      </c>
      <c r="R18" s="14">
        <f>R26</f>
        <v>190.52892561983472</v>
      </c>
      <c r="T18" s="14">
        <f>T26</f>
        <v>190.52892561983472</v>
      </c>
      <c r="V18" s="14">
        <f>V26</f>
        <v>192.00826446280993</v>
      </c>
      <c r="X18" s="14">
        <f>X26</f>
        <v>192.00826446280993</v>
      </c>
      <c r="Z18" s="14">
        <f>Z26</f>
        <v>207.28349999999998</v>
      </c>
      <c r="AB18" s="14">
        <f>AB26</f>
        <v>207.28349999999998</v>
      </c>
      <c r="AD18" s="14">
        <f>AD26</f>
        <v>221.22649999999999</v>
      </c>
      <c r="AF18" s="14">
        <f>AF26</f>
        <v>221.22649999999999</v>
      </c>
      <c r="AH18" s="14">
        <f>AH26</f>
        <v>221.22649999999999</v>
      </c>
    </row>
    <row r="19" spans="2:34" hidden="1" x14ac:dyDescent="0.2">
      <c r="P19" s="43"/>
      <c r="T19" s="43"/>
    </row>
    <row r="20" spans="2:34" hidden="1" x14ac:dyDescent="0.2">
      <c r="D20" s="12" t="s">
        <v>10</v>
      </c>
      <c r="P20" s="43"/>
      <c r="T20" s="43"/>
    </row>
    <row r="21" spans="2:34" hidden="1" x14ac:dyDescent="0.2">
      <c r="B21" s="25" t="s">
        <v>14</v>
      </c>
      <c r="D21" s="11" t="s">
        <v>9</v>
      </c>
      <c r="E21" s="37"/>
      <c r="F21" s="26">
        <f>HLOOKUP('Berekening Johan'!K$6,Data!$C$5:$U$11,2,TRUE)</f>
        <v>0.1007</v>
      </c>
      <c r="G21" s="37"/>
      <c r="H21" s="26">
        <f>HLOOKUP('Berekening Johan'!M$6,Data!$C$5:$U$11,2,TRUE)</f>
        <v>0.1007</v>
      </c>
      <c r="I21" s="37"/>
      <c r="J21" s="26">
        <f>HLOOKUP('Berekening Johan'!O$6,Data!$C$5:$U$11,2,TRUE)</f>
        <v>0.1013</v>
      </c>
      <c r="L21" s="26">
        <f>HLOOKUP('Berekening Johan'!Q$6,Data!$C$5:$U$11,2,TRUE)</f>
        <v>0.1013</v>
      </c>
      <c r="N21" s="26">
        <f>HLOOKUP('Berekening Johan'!S$6,Data!$C$5:$U$11,2,TRUE)</f>
        <v>0.10458000000000001</v>
      </c>
      <c r="P21" s="44">
        <f>HLOOKUP('Berekening Johan'!U$6,Data!$C$5:$U$11,2,TRUE)</f>
        <v>0.10458000000000001</v>
      </c>
      <c r="R21" s="26">
        <f>HLOOKUP('Berekening Johan'!W$6,Data!$C$5:$U$11,2,TRUE)</f>
        <v>9.8589999999999997E-2</v>
      </c>
      <c r="T21" s="44">
        <f>HLOOKUP('Berekening Johan'!Y$6,Data!$C$5:$U$11,2,TRUE)</f>
        <v>9.8589999999999997E-2</v>
      </c>
      <c r="V21" s="26">
        <f>HLOOKUP('Berekening Johan'!AA$6,Data!$C$5:$U$11,2,TRUE)</f>
        <v>0.1183</v>
      </c>
      <c r="X21" s="26">
        <f>HLOOKUP('Berekening Johan'!AC$6,Data!$C$5:$U$11,2,TRUE)</f>
        <v>0.1183</v>
      </c>
      <c r="Z21" s="26">
        <f>HLOOKUP('Berekening Johan'!AE$6,Data!$C$5:$U$11,2,TRUE)</f>
        <v>0.11409999999999999</v>
      </c>
      <c r="AB21" s="26">
        <f>HLOOKUP('Berekening Johan'!AG$6,Data!$C$5:$U$11,2,TRUE)</f>
        <v>0.11409999999999999</v>
      </c>
      <c r="AD21" s="26">
        <f>HLOOKUP('Berekening Johan'!AI$6,Data!$C$5:$U$11,2,TRUE)</f>
        <v>4.4519999999999997E-2</v>
      </c>
      <c r="AF21" s="26">
        <f>HLOOKUP('Berekening Johan'!AK$6,Data!$C$5:$U$11,2,TRUE)</f>
        <v>4.4519999999999997E-2</v>
      </c>
      <c r="AH21" s="26">
        <f>HLOOKUP('Berekening Johan'!AM$6,Data!$C$5:$U$11,2,TRUE)</f>
        <v>4.4519999999999997E-2</v>
      </c>
    </row>
    <row r="22" spans="2:34" hidden="1" x14ac:dyDescent="0.2">
      <c r="B22" s="25" t="s">
        <v>14</v>
      </c>
      <c r="D22" s="11" t="s">
        <v>11</v>
      </c>
      <c r="E22" s="33"/>
      <c r="F22" s="27">
        <f>HLOOKUP('Berekening Johan'!K$6,Data!$C$5:$U$11,3,TRUE)</f>
        <v>5.5999999999999999E-3</v>
      </c>
      <c r="G22" s="33"/>
      <c r="H22" s="27">
        <f>HLOOKUP('Berekening Johan'!M$6,Data!$C$5:$U$11,3,TRUE)</f>
        <v>5.5999999999999999E-3</v>
      </c>
      <c r="I22" s="33"/>
      <c r="J22" s="27">
        <f>HLOOKUP('Berekening Johan'!O$6,Data!$C$5:$U$11,3,TRUE)</f>
        <v>7.4000000000000003E-3</v>
      </c>
      <c r="L22" s="27">
        <f>HLOOKUP('Berekening Johan'!Q$6,Data!$C$5:$U$11,3,TRUE)</f>
        <v>7.4000000000000003E-3</v>
      </c>
      <c r="N22" s="27">
        <f>HLOOKUP('Berekening Johan'!S$6,Data!$C$5:$U$11,3,TRUE)</f>
        <v>1.32E-2</v>
      </c>
      <c r="P22" s="45">
        <f>HLOOKUP('Berekening Johan'!U$6,Data!$C$5:$U$11,3,TRUE)</f>
        <v>1.32E-2</v>
      </c>
      <c r="R22" s="27">
        <f>HLOOKUP('Berekening Johan'!W$6,Data!$C$5:$U$11,3,TRUE)</f>
        <v>1.89E-2</v>
      </c>
      <c r="T22" s="45">
        <f>HLOOKUP('Berekening Johan'!Y$6,Data!$C$5:$U$11,3,TRUE)</f>
        <v>1.89E-2</v>
      </c>
      <c r="V22" s="27">
        <f>HLOOKUP('Berekening Johan'!AA$6,Data!$C$5:$U$11,3,TRUE)</f>
        <v>3.3000000000000002E-2</v>
      </c>
      <c r="X22" s="27">
        <f>HLOOKUP('Berekening Johan'!AC$6,Data!$C$5:$U$11,3,TRUE)</f>
        <v>3.3000000000000002E-2</v>
      </c>
      <c r="Z22" s="27">
        <f>HLOOKUP('Berekening Johan'!AE$6,Data!$C$5:$U$11,3,TRUE)</f>
        <v>3.6299999999999999E-2</v>
      </c>
      <c r="AB22" s="27">
        <f>HLOOKUP('Berekening Johan'!AG$6,Data!$C$5:$U$11,3,TRUE)</f>
        <v>3.6299999999999999E-2</v>
      </c>
      <c r="AD22" s="27">
        <f>HLOOKUP('Berekening Johan'!AI$6,Data!$C$5:$U$11,3,TRUE)</f>
        <v>3.6900000000000002E-2</v>
      </c>
      <c r="AF22" s="27">
        <f>HLOOKUP('Berekening Johan'!AK$6,Data!$C$5:$U$11,3,TRUE)</f>
        <v>3.6900000000000002E-2</v>
      </c>
      <c r="AH22" s="27">
        <f>HLOOKUP('Berekening Johan'!AM$6,Data!$C$5:$U$11,3,TRUE)</f>
        <v>3.6900000000000002E-2</v>
      </c>
    </row>
    <row r="23" spans="2:34" hidden="1" x14ac:dyDescent="0.2">
      <c r="B23" s="25" t="s">
        <v>14</v>
      </c>
      <c r="D23" s="11" t="s">
        <v>12</v>
      </c>
      <c r="E23" s="38"/>
      <c r="F23" s="15">
        <f>HLOOKUP('Berekening Johan'!K$6,Data!$C$5:$U$11,4,TRUE)</f>
        <v>0.21</v>
      </c>
      <c r="G23" s="38"/>
      <c r="H23" s="15">
        <f>HLOOKUP('Berekening Johan'!M$6,Data!$C$5:$U$11,4,TRUE)</f>
        <v>0.21</v>
      </c>
      <c r="I23" s="38"/>
      <c r="J23" s="15">
        <f>HLOOKUP('Berekening Johan'!O$6,Data!$C$5:$U$11,4,TRUE)</f>
        <v>0.21</v>
      </c>
      <c r="L23" s="15">
        <f>HLOOKUP('Berekening Johan'!Q$6,Data!$C$5:$U$11,4,TRUE)</f>
        <v>0.21</v>
      </c>
      <c r="N23" s="15">
        <f>HLOOKUP('Berekening Johan'!S$6,Data!$C$5:$U$11,4,TRUE)</f>
        <v>0.21</v>
      </c>
      <c r="P23" s="46">
        <f>HLOOKUP('Berekening Johan'!U$6,Data!$C$5:$U$11,4,TRUE)</f>
        <v>0.21</v>
      </c>
      <c r="R23" s="15">
        <f>HLOOKUP('Berekening Johan'!W$6,Data!$C$5:$U$11,4,TRUE)</f>
        <v>0.21</v>
      </c>
      <c r="T23" s="46">
        <f>HLOOKUP('Berekening Johan'!Y$6,Data!$C$5:$U$11,4,TRUE)</f>
        <v>0.21</v>
      </c>
      <c r="V23" s="15">
        <f>HLOOKUP('Berekening Johan'!AA$6,Data!$C$5:$U$11,4,TRUE)</f>
        <v>0.21</v>
      </c>
      <c r="X23" s="15">
        <f>HLOOKUP('Berekening Johan'!AC$6,Data!$C$5:$U$11,4,TRUE)</f>
        <v>0.21</v>
      </c>
      <c r="Z23" s="15">
        <f>HLOOKUP('Berekening Johan'!AE$6,Data!$C$5:$U$11,4,TRUE)</f>
        <v>0.21</v>
      </c>
      <c r="AB23" s="15">
        <f>HLOOKUP('Berekening Johan'!AG$6,Data!$C$5:$U$11,4,TRUE)</f>
        <v>0.21</v>
      </c>
      <c r="AD23" s="15">
        <f>HLOOKUP('Berekening Johan'!AI$6,Data!$C$5:$U$11,4,TRUE)</f>
        <v>0.15</v>
      </c>
      <c r="AF23" s="15">
        <f>HLOOKUP('Berekening Johan'!AK$6,Data!$C$5:$U$11,4,TRUE)</f>
        <v>0.15</v>
      </c>
      <c r="AH23" s="15">
        <f>HLOOKUP('Berekening Johan'!AM$6,Data!$C$5:$U$11,4,TRUE)</f>
        <v>0.21</v>
      </c>
    </row>
    <row r="24" spans="2:34" hidden="1" x14ac:dyDescent="0.2">
      <c r="B24" s="25" t="s">
        <v>14</v>
      </c>
      <c r="D24" s="11" t="s">
        <v>13</v>
      </c>
      <c r="E24" s="34"/>
      <c r="F24" s="16">
        <f>HLOOKUP('Berekening Johan'!K$6,Data!$C$5:$U$11,5,TRUE)</f>
        <v>310.81</v>
      </c>
      <c r="G24" s="34"/>
      <c r="H24" s="16">
        <f>HLOOKUP('Berekening Johan'!M$6,Data!$C$5:$U$11,5,TRUE)</f>
        <v>310.81</v>
      </c>
      <c r="I24" s="34"/>
      <c r="J24" s="16">
        <f>HLOOKUP('Berekening Johan'!O$6,Data!$C$5:$U$11,5,TRUE)</f>
        <v>308.54000000000002</v>
      </c>
      <c r="L24" s="16">
        <f>HLOOKUP('Berekening Johan'!Q$6,Data!$C$5:$U$11,5,TRUE)</f>
        <v>308.54000000000002</v>
      </c>
      <c r="N24" s="16">
        <f>HLOOKUP('Berekening Johan'!S$6,Data!$C$5:$U$11,5,TRUE)</f>
        <v>308.54000000000002</v>
      </c>
      <c r="P24" s="47">
        <f>HLOOKUP('Berekening Johan'!U$6,Data!$C$5:$U$11,5,TRUE)</f>
        <v>308.54000000000002</v>
      </c>
      <c r="R24" s="16">
        <f>HLOOKUP('Berekening Johan'!W$6,Data!$C$5:$U$11,5,TRUE)</f>
        <v>275.54000000000002</v>
      </c>
      <c r="T24" s="47">
        <f>HLOOKUP('Berekening Johan'!Y$6,Data!$C$5:$U$11,5,TRUE)</f>
        <v>275.54000000000002</v>
      </c>
      <c r="V24" s="16">
        <f>HLOOKUP('Berekening Johan'!AA$6,Data!$C$5:$U$11,5,TRUE)</f>
        <v>435.68</v>
      </c>
      <c r="X24" s="16">
        <f>HLOOKUP('Berekening Johan'!AC$6,Data!$C$5:$U$11,5,TRUE)</f>
        <v>435.68</v>
      </c>
      <c r="Z24" s="16">
        <f>HLOOKUP('Berekening Johan'!AE$6,Data!$C$5:$U$11,5,TRUE)</f>
        <v>486.41</v>
      </c>
      <c r="AB24" s="16">
        <f>HLOOKUP('Berekening Johan'!AG$6,Data!$C$5:$U$11,5,TRUE)</f>
        <v>486.41</v>
      </c>
      <c r="AD24" s="16">
        <f>HLOOKUP('Berekening Johan'!AI$6,Data!$C$5:$U$11,5,TRUE)</f>
        <v>681.63</v>
      </c>
      <c r="AF24" s="16">
        <f>HLOOKUP('Berekening Johan'!AK$6,Data!$C$5:$U$11,5,TRUE)</f>
        <v>681.63</v>
      </c>
      <c r="AH24" s="16">
        <f>HLOOKUP('Berekening Johan'!AM$6,Data!$C$5:$U$11,5,TRUE)</f>
        <v>681.63</v>
      </c>
    </row>
    <row r="25" spans="2:34" hidden="1" x14ac:dyDescent="0.2">
      <c r="B25" s="25" t="s">
        <v>14</v>
      </c>
      <c r="D25" s="11" t="s">
        <v>17</v>
      </c>
      <c r="E25" s="38"/>
      <c r="F25" s="15">
        <f>HLOOKUP('Berekening Johan'!K$6,Data!$C$5:$U$11,6,TRUE)</f>
        <v>1</v>
      </c>
      <c r="G25" s="38"/>
      <c r="H25" s="15">
        <f>HLOOKUP('Berekening Johan'!M$6,Data!$C$5:$U$11,6,TRUE)</f>
        <v>1</v>
      </c>
      <c r="I25" s="38"/>
      <c r="J25" s="15">
        <f>HLOOKUP('Berekening Johan'!O$6,Data!$C$5:$U$11,6,TRUE)</f>
        <v>1</v>
      </c>
      <c r="L25" s="15">
        <f>HLOOKUP('Berekening Johan'!Q$6,Data!$C$5:$U$11,6,TRUE)</f>
        <v>1</v>
      </c>
      <c r="N25" s="15">
        <f>HLOOKUP('Berekening Johan'!S$6,Data!$C$5:$U$11,6,TRUE)</f>
        <v>1</v>
      </c>
      <c r="P25" s="46">
        <f>HLOOKUP('Berekening Johan'!U$6,Data!$C$5:$U$11,6,TRUE)</f>
        <v>1</v>
      </c>
      <c r="R25" s="15">
        <f>HLOOKUP('Berekening Johan'!W$6,Data!$C$5:$U$11,6,TRUE)</f>
        <v>1</v>
      </c>
      <c r="T25" s="46">
        <f>HLOOKUP('Berekening Johan'!Y$6,Data!$C$5:$U$11,6,TRUE)</f>
        <v>1</v>
      </c>
      <c r="V25" s="15">
        <f>HLOOKUP('Berekening Johan'!AA$6,Data!$C$5:$U$11,6,TRUE)</f>
        <v>1</v>
      </c>
      <c r="X25" s="15">
        <f>HLOOKUP('Berekening Johan'!AC$6,Data!$C$5:$U$11,6,TRUE)</f>
        <v>1</v>
      </c>
      <c r="Z25" s="15">
        <f>HLOOKUP('Berekening Johan'!AE$6,Data!$C$5:$U$11,6,TRUE)</f>
        <v>1</v>
      </c>
      <c r="AB25" s="15">
        <f>HLOOKUP('Berekening Johan'!AG$6,Data!$C$5:$U$11,6,TRUE)</f>
        <v>1</v>
      </c>
      <c r="AD25" s="15">
        <f>HLOOKUP('Berekening Johan'!AI$6,Data!$C$5:$U$11,6,TRUE)</f>
        <v>1</v>
      </c>
      <c r="AF25" s="15">
        <f>HLOOKUP('Berekening Johan'!AK$6,Data!$C$5:$U$11,6,TRUE)</f>
        <v>1</v>
      </c>
      <c r="AH25" s="15">
        <f>HLOOKUP('Berekening Johan'!AM$6,Data!$C$5:$U$11,6,TRUE)</f>
        <v>0</v>
      </c>
    </row>
    <row r="26" spans="2:34" hidden="1" x14ac:dyDescent="0.2">
      <c r="B26" s="25" t="s">
        <v>16</v>
      </c>
      <c r="D26" s="11" t="s">
        <v>15</v>
      </c>
      <c r="E26" s="34"/>
      <c r="F26" s="17">
        <f>HLOOKUP('Berekening Johan'!K$6,Data!$C$5:$U$11,7,TRUE)</f>
        <v>189.37</v>
      </c>
      <c r="G26" s="34"/>
      <c r="H26" s="17">
        <f>HLOOKUP('Berekening Johan'!M$6,Data!$C$5:$U$11,7,TRUE)</f>
        <v>189.37</v>
      </c>
      <c r="I26" s="34"/>
      <c r="J26" s="17">
        <f>HLOOKUP('Berekening Johan'!O$6,Data!$C$5:$U$11,7,TRUE)</f>
        <v>179.8</v>
      </c>
      <c r="L26" s="17">
        <f>HLOOKUP('Berekening Johan'!Q$6,Data!$C$5:$U$11,7,TRUE)</f>
        <v>179.8</v>
      </c>
      <c r="N26" s="17">
        <f>HLOOKUP('Berekening Johan'!S$6,Data!$C$5:$U$11,7,TRUE)</f>
        <v>185.35</v>
      </c>
      <c r="P26" s="47">
        <f>HLOOKUP('Berekening Johan'!U$6,Data!$C$5:$U$11,7,TRUE)</f>
        <v>185.35</v>
      </c>
      <c r="R26" s="17">
        <f>HLOOKUP('Berekening Johan'!W$6,Data!$C$5:$U$11,7,TRUE)</f>
        <v>190.52892561983472</v>
      </c>
      <c r="T26" s="47">
        <f>HLOOKUP('Berekening Johan'!Y$6,Data!$C$5:$U$11,7,TRUE)</f>
        <v>190.52892561983472</v>
      </c>
      <c r="V26" s="17">
        <f>HLOOKUP('Berekening Johan'!AA$6,Data!$C$5:$U$11,7,TRUE)</f>
        <v>192.00826446280993</v>
      </c>
      <c r="X26" s="17">
        <f>HLOOKUP('Berekening Johan'!AC$6,Data!$C$5:$U$11,7,TRUE)</f>
        <v>192.00826446280993</v>
      </c>
      <c r="Z26" s="17">
        <f>HLOOKUP('Berekening Johan'!AE$6,Data!$C$5:$U$11,7,TRUE)</f>
        <v>207.28349999999998</v>
      </c>
      <c r="AB26" s="17">
        <f>HLOOKUP('Berekening Johan'!AG$6,Data!$C$5:$U$11,7,TRUE)</f>
        <v>207.28349999999998</v>
      </c>
      <c r="AD26" s="17">
        <f>HLOOKUP('Berekening Johan'!AI$6,Data!$C$5:$U$11,7,TRUE)</f>
        <v>221.22649999999999</v>
      </c>
      <c r="AF26" s="17">
        <f>HLOOKUP('Berekening Johan'!AK$6,Data!$C$5:$U$11,7,TRUE)</f>
        <v>221.22649999999999</v>
      </c>
      <c r="AH26" s="17">
        <f>HLOOKUP('Berekening Johan'!AM$6,Data!$C$5:$U$11,7,TRUE)</f>
        <v>221.22649999999999</v>
      </c>
    </row>
    <row r="27" spans="2:34" hidden="1" x14ac:dyDescent="0.2">
      <c r="P27" s="43"/>
      <c r="T27" s="43"/>
    </row>
    <row r="28" spans="2:34" hidden="1" x14ac:dyDescent="0.2">
      <c r="D28" s="11" t="s">
        <v>19</v>
      </c>
      <c r="F28" s="11">
        <f>IF(F8&gt;=F7,(1-F25)*F7,F7-F25*F8)</f>
        <v>10141</v>
      </c>
      <c r="H28" s="11">
        <f>IF(H8&gt;=H7,(1-H25)*H7,H7-H25*H8)</f>
        <v>5547</v>
      </c>
      <c r="J28" s="11">
        <f>IF(J8&gt;=J7,(1-J25)*J7,J7-J25*J8)</f>
        <v>9274</v>
      </c>
      <c r="L28" s="11">
        <f>IF(L8&gt;=L7,(1-L25)*L7,L7-L25*L8)</f>
        <v>4569</v>
      </c>
      <c r="N28" s="11">
        <f>IF(N8&gt;=N7,(1-N25)*N7,N7-N25*N8)</f>
        <v>8120</v>
      </c>
      <c r="P28" s="53">
        <f>IF(P8&gt;=P7,(1-P25)*P7,P7-P25*P8)</f>
        <v>2725</v>
      </c>
      <c r="R28" s="11">
        <f>IF(R8&gt;=R7,(1-R25)*R7,R7-R25*R8)</f>
        <v>8405</v>
      </c>
      <c r="T28" s="53">
        <f>IF(T8&gt;=T7,(1-T25)*T7,T7-T25*T8)</f>
        <v>4156</v>
      </c>
      <c r="V28" s="11">
        <f>IF(V8&gt;=V7,(1-V25)*V7,V7-V25*V8)</f>
        <v>8040</v>
      </c>
      <c r="X28" s="11">
        <f>IF(X8&gt;=X7,(1-X25)*X7,X7-X25*X8)</f>
        <v>0</v>
      </c>
      <c r="Z28" s="11">
        <f>IF(Z8&gt;=Z7,(1-Z25)*Z7,Z7-Z25*Z8)</f>
        <v>9390</v>
      </c>
      <c r="AB28" s="11">
        <f>IF(AB8&gt;=AB7,(1-AB25)*AB7,AB7-AB25*AB8)</f>
        <v>0</v>
      </c>
      <c r="AD28" s="11">
        <f>IF(AD8&gt;=AD7,(1-AD25)*AD7,AD7-AD25*AD8)</f>
        <v>9390</v>
      </c>
      <c r="AF28" s="11">
        <f>IF(AF8&gt;=AF7,(1-AF25)*AF7,AF7-AF25*AF8)</f>
        <v>0</v>
      </c>
      <c r="AH28" s="11">
        <f>IF(AH8&gt;=AH7,(1-AH25)*AH7,AH7-AH25*AH8)</f>
        <v>6540</v>
      </c>
    </row>
    <row r="29" spans="2:34" hidden="1" x14ac:dyDescent="0.2"/>
    <row r="30" spans="2:34" ht="17" thickBot="1" x14ac:dyDescent="0.25">
      <c r="D30" s="11" t="s">
        <v>33</v>
      </c>
      <c r="H30" s="55">
        <f>F7</f>
        <v>10141</v>
      </c>
      <c r="I30" s="41"/>
      <c r="J30" s="41"/>
      <c r="K30" s="41"/>
      <c r="L30" s="55">
        <f>J7</f>
        <v>9274</v>
      </c>
      <c r="M30" s="41"/>
      <c r="N30" s="41"/>
      <c r="O30" s="41"/>
      <c r="P30" s="55">
        <f>N7</f>
        <v>8120</v>
      </c>
      <c r="Q30" s="41"/>
      <c r="R30" s="41"/>
      <c r="S30" s="41"/>
      <c r="T30" s="55">
        <f>R7</f>
        <v>8405</v>
      </c>
      <c r="U30" s="41"/>
      <c r="V30" s="41"/>
      <c r="W30" s="41"/>
      <c r="X30" s="55">
        <f>V7</f>
        <v>8040</v>
      </c>
      <c r="Y30" s="41"/>
      <c r="Z30" s="41"/>
      <c r="AA30" s="41"/>
      <c r="AB30" s="55">
        <f>Z7</f>
        <v>9390</v>
      </c>
      <c r="AC30" s="41"/>
      <c r="AD30" s="41"/>
      <c r="AE30" s="41"/>
      <c r="AF30" s="55">
        <f>AD7</f>
        <v>9390</v>
      </c>
    </row>
    <row r="31" spans="2:34" x14ac:dyDescent="0.2">
      <c r="D31" s="11" t="s">
        <v>32</v>
      </c>
      <c r="H31" s="54">
        <f>H7</f>
        <v>7990</v>
      </c>
      <c r="I31" s="41"/>
      <c r="J31" s="41"/>
      <c r="K31" s="41"/>
      <c r="L31" s="54">
        <f>L7</f>
        <v>6989</v>
      </c>
      <c r="M31" s="41"/>
      <c r="N31" s="41"/>
      <c r="O31" s="41"/>
      <c r="P31" s="54">
        <f>P7</f>
        <v>5751</v>
      </c>
      <c r="Q31" s="41"/>
      <c r="R31" s="41"/>
      <c r="S31" s="41"/>
      <c r="T31" s="54">
        <f>T7</f>
        <v>6258</v>
      </c>
      <c r="U31" s="41"/>
      <c r="V31" s="41"/>
      <c r="W31" s="41"/>
      <c r="X31" s="54">
        <f>X7</f>
        <v>5481</v>
      </c>
      <c r="Y31" s="41"/>
      <c r="Z31" s="41"/>
      <c r="AA31" s="41"/>
      <c r="AB31" s="54">
        <f>AB7</f>
        <v>6540</v>
      </c>
      <c r="AC31" s="41"/>
      <c r="AD31" s="41"/>
      <c r="AE31" s="41"/>
      <c r="AF31" s="54">
        <f>AF7</f>
        <v>6540</v>
      </c>
    </row>
    <row r="32" spans="2:34" x14ac:dyDescent="0.2">
      <c r="D32" s="11" t="s">
        <v>34</v>
      </c>
      <c r="H32" s="42">
        <f>H8</f>
        <v>2443</v>
      </c>
      <c r="I32" s="41"/>
      <c r="J32" s="41"/>
      <c r="K32" s="41"/>
      <c r="L32" s="42">
        <f>L8</f>
        <v>2420</v>
      </c>
      <c r="M32" s="41"/>
      <c r="N32" s="41"/>
      <c r="O32" s="41"/>
      <c r="P32" s="42">
        <f>P8</f>
        <v>3026</v>
      </c>
      <c r="Q32" s="41"/>
      <c r="R32" s="41"/>
      <c r="S32" s="41"/>
      <c r="T32" s="42">
        <f>T8</f>
        <v>2102</v>
      </c>
      <c r="U32" s="41"/>
      <c r="V32" s="41"/>
      <c r="W32" s="41"/>
      <c r="X32" s="42">
        <f>X8</f>
        <v>6201</v>
      </c>
      <c r="Y32" s="41"/>
      <c r="Z32" s="41"/>
      <c r="AA32" s="41"/>
      <c r="AB32" s="42">
        <f>AB8</f>
        <v>6763</v>
      </c>
      <c r="AC32" s="41"/>
      <c r="AD32" s="41"/>
      <c r="AE32" s="41"/>
      <c r="AF32" s="42">
        <f>AF8</f>
        <v>6763</v>
      </c>
    </row>
    <row r="33" spans="4:34" s="50" customFormat="1" x14ac:dyDescent="0.2"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4:34" x14ac:dyDescent="0.2">
      <c r="D34" s="11" t="s">
        <v>35</v>
      </c>
      <c r="H34" s="14">
        <f>F14</f>
        <v>1818.143943</v>
      </c>
      <c r="L34" s="14">
        <f>J14</f>
        <v>1638.2768379999998</v>
      </c>
      <c r="P34" s="14">
        <f>N14</f>
        <v>1598.1481560000002</v>
      </c>
      <c r="T34" s="14">
        <f>R14</f>
        <v>1812.3590245</v>
      </c>
      <c r="X34" s="14">
        <f>V14</f>
        <v>2204.35412</v>
      </c>
      <c r="AB34" s="14">
        <f>Z14</f>
        <v>2662.0356949999996</v>
      </c>
      <c r="AF34" s="14">
        <f>AD14</f>
        <v>4384.2948449999994</v>
      </c>
    </row>
    <row r="35" spans="4:34" x14ac:dyDescent="0.2">
      <c r="D35" s="11" t="s">
        <v>36</v>
      </c>
      <c r="H35" s="14">
        <f>H14</f>
        <v>978.87318099999982</v>
      </c>
      <c r="L35" s="14">
        <f>L14</f>
        <v>757.562003</v>
      </c>
      <c r="P35" s="14">
        <f>P14</f>
        <v>470.24895500000002</v>
      </c>
      <c r="T35" s="14">
        <f>T14</f>
        <v>874.12501239999995</v>
      </c>
      <c r="X35" s="14">
        <f>X14</f>
        <v>-327.51279999999986</v>
      </c>
      <c r="AB35" s="14">
        <f>AB14</f>
        <v>-326.28436499999998</v>
      </c>
      <c r="AF35" s="14">
        <f>AF14</f>
        <v>-585.2505249999997</v>
      </c>
    </row>
    <row r="36" spans="4:34" x14ac:dyDescent="0.2">
      <c r="D36" s="11" t="s">
        <v>29</v>
      </c>
      <c r="H36" s="14">
        <f>F14-H14</f>
        <v>839.27076200000022</v>
      </c>
      <c r="L36" s="14">
        <f>J14-L14</f>
        <v>880.71483499999977</v>
      </c>
      <c r="P36" s="14">
        <f>N14-P14</f>
        <v>1127.8992010000002</v>
      </c>
      <c r="T36" s="14">
        <f>R14-T14</f>
        <v>938.23401210000009</v>
      </c>
      <c r="X36" s="14">
        <f>V14-X14</f>
        <v>2531.8669199999999</v>
      </c>
      <c r="AB36" s="14">
        <f>Z14-AB14</f>
        <v>2988.3200599999996</v>
      </c>
      <c r="AF36" s="14">
        <f>AD14-AF14</f>
        <v>4969.5453699999989</v>
      </c>
      <c r="AH36" s="36">
        <f>AF14-AH14</f>
        <v>-613.77421799999979</v>
      </c>
    </row>
    <row r="37" spans="4:34" s="50" customFormat="1" x14ac:dyDescent="0.2">
      <c r="H37" s="52"/>
      <c r="L37" s="52"/>
      <c r="P37" s="52"/>
      <c r="T37" s="52"/>
      <c r="X37" s="52"/>
      <c r="AB37" s="52"/>
      <c r="AF37" s="52"/>
      <c r="AH37" s="52"/>
    </row>
    <row r="38" spans="4:34" s="34" customFormat="1" x14ac:dyDescent="0.2">
      <c r="D38" s="40" t="s">
        <v>30</v>
      </c>
      <c r="H38" s="49">
        <f>5037+3548+701-1474</f>
        <v>7812</v>
      </c>
      <c r="L38" s="49"/>
      <c r="P38" s="49"/>
      <c r="T38" s="49"/>
      <c r="X38" s="49">
        <v>5300</v>
      </c>
      <c r="AB38" s="49"/>
      <c r="AF38" s="49"/>
    </row>
    <row r="39" spans="4:34" x14ac:dyDescent="0.2">
      <c r="D39" s="11" t="s">
        <v>39</v>
      </c>
      <c r="H39" s="48">
        <f>H38-H36</f>
        <v>6972.7292379999999</v>
      </c>
      <c r="L39" s="48">
        <f>H39-L36+L38</f>
        <v>6092.0144030000001</v>
      </c>
      <c r="P39" s="48">
        <f>L39-P36+P38</f>
        <v>4964.115202</v>
      </c>
      <c r="T39" s="48">
        <f>P39-T36+T38</f>
        <v>4025.8811898999998</v>
      </c>
      <c r="X39" s="48">
        <f>T39-X36+X38</f>
        <v>6794.0142698999998</v>
      </c>
      <c r="AB39" s="48">
        <f>X39-AB36+AB38</f>
        <v>3805.6942099000003</v>
      </c>
      <c r="AF39" s="48">
        <f>AB39-AF36+AF38</f>
        <v>-1163.8511600999987</v>
      </c>
      <c r="AH39" s="36">
        <f>AD39-AH36+AH38</f>
        <v>613.77421799999979</v>
      </c>
    </row>
    <row r="42" spans="4:34" x14ac:dyDescent="0.2">
      <c r="D42" s="11" t="s">
        <v>38</v>
      </c>
      <c r="H42" s="42">
        <v>4943</v>
      </c>
      <c r="I42" s="41"/>
      <c r="J42" s="41"/>
      <c r="K42" s="41"/>
      <c r="L42" s="42">
        <v>4671</v>
      </c>
      <c r="M42" s="41"/>
      <c r="N42" s="41"/>
      <c r="O42" s="41"/>
      <c r="P42" s="42">
        <v>5322</v>
      </c>
      <c r="Q42" s="41"/>
      <c r="R42" s="41"/>
      <c r="S42" s="41"/>
      <c r="T42" s="42">
        <v>4914</v>
      </c>
      <c r="U42" s="41"/>
      <c r="V42" s="41"/>
      <c r="W42" s="41"/>
      <c r="X42" s="42">
        <v>8763</v>
      </c>
      <c r="Y42" s="41"/>
      <c r="Z42" s="41"/>
      <c r="AA42" s="41"/>
      <c r="AB42" s="42">
        <v>9534</v>
      </c>
      <c r="AC42" s="41"/>
      <c r="AD42" s="41"/>
      <c r="AE42" s="41"/>
      <c r="AF42" s="42">
        <v>9534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6985-84F8-7D42-A41A-F9AFE96795D0}">
  <dimension ref="B2:W28"/>
  <sheetViews>
    <sheetView workbookViewId="0">
      <selection activeCell="D37" sqref="D37"/>
    </sheetView>
  </sheetViews>
  <sheetFormatPr baseColWidth="10" defaultRowHeight="16" x14ac:dyDescent="0.2"/>
  <cols>
    <col min="1" max="1" width="10.83203125" style="11"/>
    <col min="2" max="2" width="33" style="11" hidden="1" customWidth="1"/>
    <col min="3" max="3" width="4.83203125" style="11" customWidth="1"/>
    <col min="4" max="4" width="35.83203125" style="11" customWidth="1"/>
    <col min="5" max="5" width="17.33203125" style="11" customWidth="1"/>
    <col min="6" max="6" width="4.1640625" style="11" customWidth="1"/>
    <col min="7" max="7" width="17.33203125" style="11" customWidth="1"/>
    <col min="8" max="8" width="2.33203125" style="11" customWidth="1"/>
    <col min="9" max="9" width="17.33203125" style="11" customWidth="1"/>
    <col min="10" max="10" width="4.1640625" style="11" customWidth="1"/>
    <col min="11" max="11" width="17.33203125" style="11" customWidth="1"/>
    <col min="12" max="12" width="4.1640625" style="11" customWidth="1"/>
    <col min="13" max="13" width="17.33203125" style="11" customWidth="1"/>
    <col min="14" max="14" width="4.1640625" style="11" customWidth="1"/>
    <col min="15" max="15" width="17.33203125" style="11" customWidth="1"/>
    <col min="16" max="16" width="4.1640625" style="11" customWidth="1"/>
    <col min="17" max="17" width="17.33203125" style="11" customWidth="1"/>
    <col min="18" max="18" width="3.33203125" style="11" customWidth="1"/>
    <col min="19" max="19" width="17.33203125" style="11" customWidth="1"/>
    <col min="20" max="20" width="4.83203125" style="11" customWidth="1"/>
    <col min="21" max="21" width="17.33203125" style="11" customWidth="1"/>
    <col min="22" max="22" width="3" style="11" customWidth="1"/>
    <col min="23" max="23" width="17.33203125" style="11" customWidth="1"/>
    <col min="24" max="16384" width="10.83203125" style="11"/>
  </cols>
  <sheetData>
    <row r="2" spans="2:23" ht="19" x14ac:dyDescent="0.25">
      <c r="F2" s="56" t="s">
        <v>0</v>
      </c>
      <c r="G2" s="56"/>
      <c r="H2" s="56"/>
      <c r="I2" s="56"/>
      <c r="J2" s="39"/>
      <c r="L2" s="39"/>
    </row>
    <row r="4" spans="2:23" x14ac:dyDescent="0.2">
      <c r="D4" s="12" t="s">
        <v>1</v>
      </c>
      <c r="E4" s="30"/>
      <c r="F4" s="30"/>
      <c r="G4" s="30"/>
      <c r="H4" s="30"/>
      <c r="I4" s="30"/>
      <c r="J4" s="30"/>
      <c r="K4" s="30"/>
      <c r="L4" s="30"/>
      <c r="M4" s="30"/>
      <c r="O4" s="30"/>
      <c r="Q4" s="30"/>
      <c r="S4" s="30"/>
      <c r="U4" s="30"/>
      <c r="V4" s="30"/>
      <c r="W4" s="30"/>
    </row>
    <row r="5" spans="2:23" x14ac:dyDescent="0.2">
      <c r="D5" s="12"/>
    </row>
    <row r="6" spans="2:23" x14ac:dyDescent="0.2">
      <c r="D6" s="11" t="s">
        <v>2</v>
      </c>
      <c r="E6" s="28">
        <v>2013</v>
      </c>
      <c r="F6" s="32"/>
      <c r="G6" s="28">
        <v>2014</v>
      </c>
      <c r="H6" s="32"/>
      <c r="I6" s="28">
        <v>2015</v>
      </c>
      <c r="J6" s="32"/>
      <c r="K6" s="28">
        <v>2016</v>
      </c>
      <c r="L6" s="32"/>
      <c r="M6" s="28">
        <v>2017</v>
      </c>
      <c r="O6" s="28">
        <v>2018</v>
      </c>
      <c r="Q6" s="28">
        <v>2019</v>
      </c>
      <c r="S6" s="28">
        <v>2020</v>
      </c>
      <c r="U6" s="28">
        <v>2021</v>
      </c>
      <c r="W6" s="28">
        <v>2022</v>
      </c>
    </row>
    <row r="7" spans="2:23" x14ac:dyDescent="0.2">
      <c r="B7" s="22" t="s">
        <v>20</v>
      </c>
      <c r="D7" s="11" t="s">
        <v>3</v>
      </c>
      <c r="E7" s="8">
        <v>6440</v>
      </c>
      <c r="G7" s="8">
        <v>7215</v>
      </c>
      <c r="I7" s="8">
        <v>7185</v>
      </c>
      <c r="K7" s="8">
        <v>7990</v>
      </c>
      <c r="M7" s="8">
        <v>6989</v>
      </c>
      <c r="O7" s="8">
        <v>5751</v>
      </c>
      <c r="Q7" s="8">
        <v>6258</v>
      </c>
      <c r="S7" s="8">
        <v>5481</v>
      </c>
      <c r="U7" s="8">
        <v>6540</v>
      </c>
      <c r="W7" s="8">
        <v>6540</v>
      </c>
    </row>
    <row r="8" spans="2:23" x14ac:dyDescent="0.2">
      <c r="B8" s="23" t="s">
        <v>21</v>
      </c>
      <c r="D8" s="11" t="s">
        <v>4</v>
      </c>
      <c r="E8" s="8">
        <v>0</v>
      </c>
      <c r="G8" s="8">
        <v>0</v>
      </c>
      <c r="I8" s="8">
        <v>0</v>
      </c>
      <c r="K8" s="8">
        <v>2443</v>
      </c>
      <c r="M8" s="8">
        <v>2420</v>
      </c>
      <c r="O8" s="8">
        <v>3026</v>
      </c>
      <c r="Q8" s="8">
        <v>2102</v>
      </c>
      <c r="S8" s="8">
        <v>6201</v>
      </c>
      <c r="U8" s="8">
        <v>6763</v>
      </c>
      <c r="W8" s="8">
        <v>6763</v>
      </c>
    </row>
    <row r="9" spans="2:23" ht="34" x14ac:dyDescent="0.2">
      <c r="B9" s="24" t="s">
        <v>22</v>
      </c>
    </row>
    <row r="10" spans="2:23" x14ac:dyDescent="0.2">
      <c r="B10" s="23" t="s">
        <v>23</v>
      </c>
      <c r="D10" s="11" t="s">
        <v>25</v>
      </c>
      <c r="E10" s="9">
        <v>3.6999999999999998E-2</v>
      </c>
      <c r="F10" s="33"/>
      <c r="G10" s="9">
        <v>4.2000000000000003E-2</v>
      </c>
      <c r="H10" s="33"/>
      <c r="I10" s="9">
        <v>4.2999999999999997E-2</v>
      </c>
      <c r="J10" s="33"/>
      <c r="K10" s="9">
        <v>0.05</v>
      </c>
      <c r="L10" s="33"/>
      <c r="M10" s="9">
        <v>4.5999999999999999E-2</v>
      </c>
      <c r="O10" s="9">
        <v>5.5E-2</v>
      </c>
      <c r="Q10" s="9">
        <v>6.5000000000000002E-2</v>
      </c>
      <c r="S10" s="9">
        <v>0.1</v>
      </c>
      <c r="U10" s="9">
        <v>0.11</v>
      </c>
      <c r="W10" s="9">
        <v>0.37</v>
      </c>
    </row>
    <row r="11" spans="2:23" x14ac:dyDescent="0.2">
      <c r="D11" s="11" t="s">
        <v>24</v>
      </c>
      <c r="E11" s="9">
        <v>0</v>
      </c>
      <c r="F11" s="33"/>
      <c r="G11" s="9">
        <v>0</v>
      </c>
      <c r="H11" s="33"/>
      <c r="I11" s="9">
        <v>0</v>
      </c>
      <c r="J11" s="33"/>
      <c r="K11" s="9">
        <v>0.04</v>
      </c>
      <c r="L11" s="33"/>
      <c r="M11" s="9">
        <f>M10</f>
        <v>4.5999999999999999E-2</v>
      </c>
      <c r="O11" s="9">
        <f>O10</f>
        <v>5.5E-2</v>
      </c>
      <c r="Q11" s="9">
        <f>Q10</f>
        <v>6.5000000000000002E-2</v>
      </c>
      <c r="S11" s="9">
        <f>S10</f>
        <v>0.1</v>
      </c>
      <c r="U11" s="9">
        <f>U10</f>
        <v>0.11</v>
      </c>
      <c r="W11" s="9">
        <f>W10</f>
        <v>0.37</v>
      </c>
    </row>
    <row r="12" spans="2:23" x14ac:dyDescent="0.2">
      <c r="D12" s="11" t="s">
        <v>18</v>
      </c>
      <c r="E12" s="9">
        <v>70</v>
      </c>
      <c r="F12" s="33"/>
      <c r="G12" s="9">
        <v>26</v>
      </c>
      <c r="H12" s="33"/>
      <c r="I12" s="9">
        <v>21</v>
      </c>
      <c r="J12" s="33"/>
      <c r="K12" s="9">
        <v>39</v>
      </c>
      <c r="L12" s="33"/>
      <c r="M12" s="9">
        <v>48</v>
      </c>
      <c r="O12" s="9">
        <v>41</v>
      </c>
      <c r="Q12" s="9">
        <v>49</v>
      </c>
      <c r="S12" s="9">
        <v>45</v>
      </c>
      <c r="U12" s="9">
        <v>34</v>
      </c>
      <c r="W12" s="9">
        <v>34</v>
      </c>
    </row>
    <row r="14" spans="2:23" x14ac:dyDescent="0.2">
      <c r="D14" s="11" t="s">
        <v>8</v>
      </c>
      <c r="E14" s="10">
        <f>SUM(E16:E18)</f>
        <v>1076.9532400000001</v>
      </c>
      <c r="F14" s="34"/>
      <c r="G14" s="10">
        <f>SUM(G16:G18)</f>
        <v>1308.42382</v>
      </c>
      <c r="H14" s="34"/>
      <c r="I14" s="10">
        <f>SUM(I16:I18)</f>
        <v>1320.6266700000001</v>
      </c>
      <c r="J14" s="34"/>
      <c r="K14" s="10">
        <f>SUM(K16:K18)</f>
        <v>978.87318099999982</v>
      </c>
      <c r="L14" s="34"/>
      <c r="M14" s="10">
        <f>SUM(M16:M18)</f>
        <v>757.562003</v>
      </c>
      <c r="O14" s="10">
        <f>SUM(O16:O18)</f>
        <v>470.24895500000002</v>
      </c>
      <c r="Q14" s="10">
        <f>SUM(Q16:Q18)</f>
        <v>874.12501239999995</v>
      </c>
      <c r="S14" s="10">
        <f>SUM(S16:S18)</f>
        <v>-327.51279999999986</v>
      </c>
      <c r="U14" s="10">
        <f>SUM(U16:U18)</f>
        <v>-326.28436499999998</v>
      </c>
      <c r="W14" s="10">
        <f>SUM(W16:W18)</f>
        <v>-585.2505249999997</v>
      </c>
    </row>
    <row r="16" spans="2:23" x14ac:dyDescent="0.2">
      <c r="D16" s="11" t="s">
        <v>5</v>
      </c>
      <c r="E16" s="13">
        <f>E23*(E18+E17)+(1+E23)*(E28*(E21+E22)-E24)</f>
        <v>625.63324</v>
      </c>
      <c r="F16" s="35"/>
      <c r="G16" s="13">
        <f>G23*(G18+G17)+(1+G23)*(G28*(G21+G22)-G24)</f>
        <v>780.03381999999988</v>
      </c>
      <c r="H16" s="35"/>
      <c r="I16" s="13">
        <f>I23*(I18+I17)+(1+I23)*(I28*(I21+I22)-I24)</f>
        <v>802.55167000000006</v>
      </c>
      <c r="J16" s="35"/>
      <c r="K16" s="13">
        <f>K23*(K18+K17)+(1+K23)*(K28*(K21+K22)-K24)</f>
        <v>448.7231809999999</v>
      </c>
      <c r="L16" s="35"/>
      <c r="M16" s="13">
        <f>M23*(M18+M17)+(1+M23)*(M28*(M21+M22)-M24)</f>
        <v>319.58800299999996</v>
      </c>
      <c r="O16" s="13">
        <f>O23*(O18+O17)+(1+O23)*(O28*(O21+O22)-O24)</f>
        <v>94.023955000000015</v>
      </c>
      <c r="Q16" s="13">
        <f>Q23*(Q18+Q17)+(1+Q23)*(Q28*(Q21+Q22)-Q24)</f>
        <v>364.45608678016521</v>
      </c>
      <c r="S16" s="13">
        <f>S23*(S18+S17)+(1+S23)*(S28*(S21+S22)-S24)</f>
        <v>-492.52106446280987</v>
      </c>
      <c r="U16" s="13">
        <f>U23*(U18+U17)+(1+U23)*(U28*(U21+U22)-U24)</f>
        <v>-543.03786500000001</v>
      </c>
      <c r="W16" s="13">
        <f>W23*(W18+W17)+(1+W23)*(W28*(W21+W22)-W24)</f>
        <v>-757.96702499999992</v>
      </c>
    </row>
    <row r="17" spans="2:23" x14ac:dyDescent="0.2">
      <c r="D17" s="11" t="s">
        <v>7</v>
      </c>
      <c r="E17" s="13">
        <f>E10*E7-E11*E8+E12</f>
        <v>308.27999999999997</v>
      </c>
      <c r="F17" s="35"/>
      <c r="G17" s="13">
        <f>G10*G7-G11*G8+G12</f>
        <v>329.03000000000003</v>
      </c>
      <c r="H17" s="35"/>
      <c r="I17" s="13">
        <f>I10*I7-I11*I8+I12</f>
        <v>329.95499999999998</v>
      </c>
      <c r="J17" s="35"/>
      <c r="K17" s="13">
        <f>K10*K7-K11*K8+K12</f>
        <v>340.78</v>
      </c>
      <c r="L17" s="35"/>
      <c r="M17" s="13">
        <f>M10*M7-M11*M8+M12</f>
        <v>258.17399999999998</v>
      </c>
      <c r="O17" s="13">
        <f>O10*O7-O11*O8+O12</f>
        <v>190.875</v>
      </c>
      <c r="Q17" s="13">
        <f>Q10*Q7-Q11*Q8+Q12</f>
        <v>319.14000000000004</v>
      </c>
      <c r="S17" s="13">
        <f>S10*S7-S11*S8+S12</f>
        <v>-27</v>
      </c>
      <c r="U17" s="13">
        <f>U10*U7-U11*U8+U12</f>
        <v>9.4700000000000273</v>
      </c>
      <c r="W17" s="13">
        <f>W10*W7-W11*W8+W12</f>
        <v>-48.509999999999764</v>
      </c>
    </row>
    <row r="18" spans="2:23" x14ac:dyDescent="0.2">
      <c r="D18" s="11" t="s">
        <v>6</v>
      </c>
      <c r="E18" s="14">
        <f>E26</f>
        <v>143.04</v>
      </c>
      <c r="F18" s="36"/>
      <c r="G18" s="14">
        <f>G26</f>
        <v>199.36</v>
      </c>
      <c r="H18" s="36"/>
      <c r="I18" s="14">
        <f>I26</f>
        <v>188.12</v>
      </c>
      <c r="J18" s="36"/>
      <c r="K18" s="14">
        <f>K26</f>
        <v>189.37</v>
      </c>
      <c r="L18" s="36"/>
      <c r="M18" s="14">
        <f>M26</f>
        <v>179.8</v>
      </c>
      <c r="O18" s="14">
        <f>O26</f>
        <v>185.35</v>
      </c>
      <c r="Q18" s="14">
        <f>Q26</f>
        <v>190.52892561983472</v>
      </c>
      <c r="S18" s="14">
        <f>S26</f>
        <v>192.00826446280993</v>
      </c>
      <c r="U18" s="14">
        <f>U26</f>
        <v>207.28349999999998</v>
      </c>
      <c r="W18" s="14">
        <f>W26</f>
        <v>221.22649999999999</v>
      </c>
    </row>
    <row r="20" spans="2:23" x14ac:dyDescent="0.2">
      <c r="D20" s="12" t="s">
        <v>10</v>
      </c>
    </row>
    <row r="21" spans="2:23" x14ac:dyDescent="0.2">
      <c r="B21" s="25" t="s">
        <v>14</v>
      </c>
      <c r="D21" s="11" t="s">
        <v>9</v>
      </c>
      <c r="E21" s="26">
        <f>HLOOKUP('Berekening Johan'!E$6,Data!$C$5:$U$11,2,TRUE)</f>
        <v>0.11650000000000001</v>
      </c>
      <c r="F21" s="37"/>
      <c r="G21" s="26">
        <f>HLOOKUP('Berekening Johan'!G$6,Data!$C$5:$U$11,2,TRUE)</f>
        <v>0.11849999999999999</v>
      </c>
      <c r="H21" s="37"/>
      <c r="I21" s="26">
        <f>HLOOKUP('Berekening Johan'!I$6,Data!$C$5:$U$11,2,TRUE)</f>
        <v>0.1196</v>
      </c>
      <c r="J21" s="37"/>
      <c r="K21" s="26">
        <f>HLOOKUP('Berekening Johan'!M$6,Data!$C$5:$U$11,2,TRUE)</f>
        <v>0.1007</v>
      </c>
      <c r="L21" s="37"/>
      <c r="M21" s="26">
        <f>HLOOKUP('Berekening Johan'!Q$6,Data!$C$5:$U$11,2,TRUE)</f>
        <v>0.1013</v>
      </c>
      <c r="O21" s="26">
        <f>HLOOKUP('Berekening Johan'!U$6,Data!$C$5:$U$11,2,TRUE)</f>
        <v>0.10458000000000001</v>
      </c>
      <c r="Q21" s="26">
        <f>HLOOKUP('Berekening Johan'!Y$6,Data!$C$5:$U$11,2,TRUE)</f>
        <v>9.8589999999999997E-2</v>
      </c>
      <c r="S21" s="26">
        <f>HLOOKUP('Berekening Johan'!AC$6,Data!$C$5:$U$11,2,TRUE)</f>
        <v>0.1183</v>
      </c>
      <c r="U21" s="26">
        <f>HLOOKUP('Berekening Johan'!AG$6,Data!$C$5:$U$11,2,TRUE)</f>
        <v>0.11409999999999999</v>
      </c>
      <c r="W21" s="26">
        <f>HLOOKUP('Berekening Johan'!AK$6,Data!$C$5:$U$11,2,TRUE)</f>
        <v>4.4519999999999997E-2</v>
      </c>
    </row>
    <row r="22" spans="2:23" x14ac:dyDescent="0.2">
      <c r="B22" s="25" t="s">
        <v>14</v>
      </c>
      <c r="D22" s="11" t="s">
        <v>11</v>
      </c>
      <c r="E22" s="27">
        <f>HLOOKUP('Berekening Johan'!E$6,Data!$C$5:$U$11,3,TRUE)</f>
        <v>1.1000000000000001E-3</v>
      </c>
      <c r="F22" s="33"/>
      <c r="G22" s="27">
        <f>HLOOKUP('Berekening Johan'!G$6,Data!$C$5:$U$11,3,TRUE)</f>
        <v>2.3E-3</v>
      </c>
      <c r="H22" s="33"/>
      <c r="I22" s="27">
        <f>HLOOKUP('Berekening Johan'!I$6,Data!$C$5:$U$11,3,TRUE)</f>
        <v>3.5999999999999999E-3</v>
      </c>
      <c r="J22" s="33"/>
      <c r="K22" s="27">
        <f>HLOOKUP('Berekening Johan'!M$6,Data!$C$5:$U$11,3,TRUE)</f>
        <v>5.5999999999999999E-3</v>
      </c>
      <c r="L22" s="33"/>
      <c r="M22" s="27">
        <f>HLOOKUP('Berekening Johan'!Q$6,Data!$C$5:$U$11,3,TRUE)</f>
        <v>7.4000000000000003E-3</v>
      </c>
      <c r="O22" s="27">
        <f>HLOOKUP('Berekening Johan'!U$6,Data!$C$5:$U$11,3,TRUE)</f>
        <v>1.32E-2</v>
      </c>
      <c r="Q22" s="27">
        <f>HLOOKUP('Berekening Johan'!Y$6,Data!$C$5:$U$11,3,TRUE)</f>
        <v>1.89E-2</v>
      </c>
      <c r="S22" s="27">
        <f>HLOOKUP('Berekening Johan'!AC$6,Data!$C$5:$U$11,3,TRUE)</f>
        <v>3.3000000000000002E-2</v>
      </c>
      <c r="U22" s="27">
        <f>HLOOKUP('Berekening Johan'!AG$6,Data!$C$5:$U$11,3,TRUE)</f>
        <v>3.6299999999999999E-2</v>
      </c>
      <c r="W22" s="27">
        <f>HLOOKUP('Berekening Johan'!AK$6,Data!$C$5:$U$11,3,TRUE)</f>
        <v>3.6900000000000002E-2</v>
      </c>
    </row>
    <row r="23" spans="2:23" x14ac:dyDescent="0.2">
      <c r="B23" s="25" t="s">
        <v>14</v>
      </c>
      <c r="D23" s="11" t="s">
        <v>12</v>
      </c>
      <c r="E23" s="15">
        <f>HLOOKUP('Berekening Johan'!E$6,Data!$C$5:$U$11,4,TRUE)</f>
        <v>0.21</v>
      </c>
      <c r="F23" s="38"/>
      <c r="G23" s="15">
        <f>HLOOKUP('Berekening Johan'!G$6,Data!$C$5:$U$11,4,TRUE)</f>
        <v>0.21</v>
      </c>
      <c r="H23" s="38"/>
      <c r="I23" s="15">
        <f>HLOOKUP('Berekening Johan'!I$6,Data!$C$5:$U$11,4,TRUE)</f>
        <v>0.21</v>
      </c>
      <c r="J23" s="38"/>
      <c r="K23" s="15">
        <f>HLOOKUP('Berekening Johan'!M$6,Data!$C$5:$U$11,4,TRUE)</f>
        <v>0.21</v>
      </c>
      <c r="L23" s="38"/>
      <c r="M23" s="15">
        <f>HLOOKUP('Berekening Johan'!Q$6,Data!$C$5:$U$11,4,TRUE)</f>
        <v>0.21</v>
      </c>
      <c r="O23" s="15">
        <f>HLOOKUP('Berekening Johan'!U$6,Data!$C$5:$U$11,4,TRUE)</f>
        <v>0.21</v>
      </c>
      <c r="Q23" s="15">
        <f>HLOOKUP('Berekening Johan'!Y$6,Data!$C$5:$U$11,4,TRUE)</f>
        <v>0.21</v>
      </c>
      <c r="S23" s="15">
        <f>HLOOKUP('Berekening Johan'!AC$6,Data!$C$5:$U$11,4,TRUE)</f>
        <v>0.21</v>
      </c>
      <c r="U23" s="15">
        <f>HLOOKUP('Berekening Johan'!AG$6,Data!$C$5:$U$11,4,TRUE)</f>
        <v>0.21</v>
      </c>
      <c r="W23" s="15">
        <f>HLOOKUP('Berekening Johan'!AK$6,Data!$C$5:$U$11,4,TRUE)</f>
        <v>0.15</v>
      </c>
    </row>
    <row r="24" spans="2:23" x14ac:dyDescent="0.2">
      <c r="B24" s="25" t="s">
        <v>14</v>
      </c>
      <c r="D24" s="11" t="s">
        <v>13</v>
      </c>
      <c r="E24" s="16">
        <f>HLOOKUP('Berekening Johan'!E$6,Data!$C$5:$U$11,5,TRUE)</f>
        <v>318.62</v>
      </c>
      <c r="F24" s="34"/>
      <c r="G24" s="16">
        <f>HLOOKUP('Berekening Johan'!G$6,Data!$C$5:$U$11,5,TRUE)</f>
        <v>318.62</v>
      </c>
      <c r="H24" s="34"/>
      <c r="I24" s="16">
        <f>HLOOKUP('Berekening Johan'!I$6,Data!$C$5:$U$11,5,TRUE)</f>
        <v>311.83999999999997</v>
      </c>
      <c r="J24" s="34"/>
      <c r="K24" s="16">
        <f>HLOOKUP('Berekening Johan'!M$6,Data!$C$5:$U$11,5,TRUE)</f>
        <v>310.81</v>
      </c>
      <c r="L24" s="34"/>
      <c r="M24" s="16">
        <f>HLOOKUP('Berekening Johan'!Q$6,Data!$C$5:$U$11,5,TRUE)</f>
        <v>308.54000000000002</v>
      </c>
      <c r="O24" s="16">
        <f>HLOOKUP('Berekening Johan'!U$6,Data!$C$5:$U$11,5,TRUE)</f>
        <v>308.54000000000002</v>
      </c>
      <c r="Q24" s="16">
        <f>HLOOKUP('Berekening Johan'!Y$6,Data!$C$5:$U$11,5,TRUE)</f>
        <v>275.54000000000002</v>
      </c>
      <c r="S24" s="16">
        <f>HLOOKUP('Berekening Johan'!AC$6,Data!$C$5:$U$11,5,TRUE)</f>
        <v>435.68</v>
      </c>
      <c r="U24" s="16">
        <f>HLOOKUP('Berekening Johan'!AG$6,Data!$C$5:$U$11,5,TRUE)</f>
        <v>486.41</v>
      </c>
      <c r="W24" s="16">
        <f>HLOOKUP('Berekening Johan'!AK$6,Data!$C$5:$U$11,5,TRUE)</f>
        <v>681.63</v>
      </c>
    </row>
    <row r="25" spans="2:23" x14ac:dyDescent="0.2">
      <c r="B25" s="25" t="s">
        <v>14</v>
      </c>
      <c r="D25" s="11" t="s">
        <v>17</v>
      </c>
      <c r="E25" s="15">
        <f>HLOOKUP('Berekening Johan'!E$6,Data!$C$5:$U$11,6,TRUE)</f>
        <v>1</v>
      </c>
      <c r="F25" s="38"/>
      <c r="G25" s="15">
        <f>HLOOKUP('Berekening Johan'!G$6,Data!$C$5:$U$11,6,TRUE)</f>
        <v>1</v>
      </c>
      <c r="H25" s="38"/>
      <c r="I25" s="15">
        <f>HLOOKUP('Berekening Johan'!I$6,Data!$C$5:$U$11,6,TRUE)</f>
        <v>1</v>
      </c>
      <c r="J25" s="38"/>
      <c r="K25" s="15">
        <f>HLOOKUP('Berekening Johan'!M$6,Data!$C$5:$U$11,6,TRUE)</f>
        <v>1</v>
      </c>
      <c r="L25" s="38"/>
      <c r="M25" s="15">
        <f>HLOOKUP('Berekening Johan'!Q$6,Data!$C$5:$U$11,6,TRUE)</f>
        <v>1</v>
      </c>
      <c r="O25" s="15">
        <f>HLOOKUP('Berekening Johan'!U$6,Data!$C$5:$U$11,6,TRUE)</f>
        <v>1</v>
      </c>
      <c r="Q25" s="15">
        <f>HLOOKUP('Berekening Johan'!Y$6,Data!$C$5:$U$11,6,TRUE)</f>
        <v>1</v>
      </c>
      <c r="S25" s="15">
        <f>HLOOKUP('Berekening Johan'!AC$6,Data!$C$5:$U$11,6,TRUE)</f>
        <v>1</v>
      </c>
      <c r="U25" s="15">
        <f>HLOOKUP('Berekening Johan'!AG$6,Data!$C$5:$U$11,6,TRUE)</f>
        <v>1</v>
      </c>
      <c r="W25" s="15">
        <f>HLOOKUP('Berekening Johan'!AK$6,Data!$C$5:$U$11,6,TRUE)</f>
        <v>1</v>
      </c>
    </row>
    <row r="26" spans="2:23" x14ac:dyDescent="0.2">
      <c r="B26" s="25" t="s">
        <v>16</v>
      </c>
      <c r="D26" s="11" t="s">
        <v>15</v>
      </c>
      <c r="E26" s="17">
        <f>HLOOKUP('Berekening Johan'!E$6,Data!$C$5:$U$11,7,TRUE)</f>
        <v>143.04</v>
      </c>
      <c r="F26" s="34"/>
      <c r="G26" s="17">
        <f>HLOOKUP('Berekening Johan'!G$6,Data!$C$5:$U$11,7,TRUE)</f>
        <v>199.36</v>
      </c>
      <c r="H26" s="34"/>
      <c r="I26" s="17">
        <f>HLOOKUP('Berekening Johan'!I$6,Data!$C$5:$U$11,7,TRUE)</f>
        <v>188.12</v>
      </c>
      <c r="J26" s="34"/>
      <c r="K26" s="17">
        <f>HLOOKUP('Berekening Johan'!M$6,Data!$C$5:$U$11,7,TRUE)</f>
        <v>189.37</v>
      </c>
      <c r="L26" s="34"/>
      <c r="M26" s="17">
        <f>HLOOKUP('Berekening Johan'!Q$6,Data!$C$5:$U$11,7,TRUE)</f>
        <v>179.8</v>
      </c>
      <c r="O26" s="17">
        <f>HLOOKUP('Berekening Johan'!U$6,Data!$C$5:$U$11,7,TRUE)</f>
        <v>185.35</v>
      </c>
      <c r="Q26" s="17">
        <f>HLOOKUP('Berekening Johan'!Y$6,Data!$C$5:$U$11,7,TRUE)</f>
        <v>190.52892561983472</v>
      </c>
      <c r="S26" s="17">
        <f>HLOOKUP('Berekening Johan'!AC$6,Data!$C$5:$U$11,7,TRUE)</f>
        <v>192.00826446280993</v>
      </c>
      <c r="U26" s="17">
        <f>HLOOKUP('Berekening Johan'!AG$6,Data!$C$5:$U$11,7,TRUE)</f>
        <v>207.28349999999998</v>
      </c>
      <c r="W26" s="17">
        <f>HLOOKUP('Berekening Johan'!AK$6,Data!$C$5:$U$11,7,TRUE)</f>
        <v>221.22649999999999</v>
      </c>
    </row>
    <row r="28" spans="2:23" x14ac:dyDescent="0.2">
      <c r="D28" s="11" t="s">
        <v>19</v>
      </c>
      <c r="E28" s="11">
        <f>IF(E8&gt;=E7,(1-E25)*E7,E7-E25*E8)</f>
        <v>6440</v>
      </c>
      <c r="G28" s="11">
        <f>IF(G8&gt;=G7,(1-G25)*G7,G7-G25*G8)</f>
        <v>7215</v>
      </c>
      <c r="I28" s="11">
        <f>IF(I8&gt;=I7,(1-I25)*I7,I7-I25*I8)</f>
        <v>7185</v>
      </c>
      <c r="K28" s="11">
        <f>IF(K8&gt;=K7,(1-K25)*K7,K7-K25*K8)</f>
        <v>5547</v>
      </c>
      <c r="M28" s="11">
        <f>IF(M8&gt;=M7,(1-M25)*M7,M7-M25*M8)</f>
        <v>4569</v>
      </c>
      <c r="O28" s="11">
        <f>IF(O8&gt;=O7,(1-O25)*O7,O7-O25*O8)</f>
        <v>2725</v>
      </c>
      <c r="Q28" s="11">
        <f>IF(Q8&gt;=Q7,(1-Q25)*Q7,Q7-Q25*Q8)</f>
        <v>4156</v>
      </c>
      <c r="S28" s="11">
        <f>IF(S8&gt;=S7,(1-S25)*S7,S7-S25*S8)</f>
        <v>0</v>
      </c>
      <c r="U28" s="11">
        <f>IF(U8&gt;=U7,(1-U25)*U7,U7-U25*U8)</f>
        <v>0</v>
      </c>
      <c r="W28" s="11">
        <f>IF(W8&gt;=W7,(1-W25)*W7,W7-W25*W8)</f>
        <v>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0C35-4E9A-B347-8FA9-B865CC2BB780}">
  <dimension ref="B2:S28"/>
  <sheetViews>
    <sheetView topLeftCell="C1" zoomScale="172" workbookViewId="0">
      <selection activeCell="D32" sqref="D32"/>
    </sheetView>
  </sheetViews>
  <sheetFormatPr baseColWidth="10" defaultRowHeight="16" x14ac:dyDescent="0.2"/>
  <cols>
    <col min="1" max="1" width="10.83203125" style="11"/>
    <col min="2" max="2" width="33" style="11" customWidth="1"/>
    <col min="3" max="3" width="4.83203125" style="11" customWidth="1"/>
    <col min="4" max="4" width="35.83203125" style="11" customWidth="1"/>
    <col min="5" max="5" width="17.33203125" style="11" customWidth="1"/>
    <col min="6" max="6" width="4.1640625" style="11" customWidth="1"/>
    <col min="7" max="7" width="17.33203125" style="11" customWidth="1"/>
    <col min="8" max="8" width="4.1640625" style="11" customWidth="1"/>
    <col min="9" max="9" width="17.33203125" style="11" customWidth="1"/>
    <col min="10" max="10" width="4.1640625" style="11" customWidth="1"/>
    <col min="11" max="11" width="17.33203125" style="11" customWidth="1"/>
    <col min="12" max="12" width="4.1640625" style="11" customWidth="1"/>
    <col min="13" max="13" width="17.33203125" style="11" customWidth="1"/>
    <col min="14" max="14" width="4.1640625" style="11" customWidth="1"/>
    <col min="15" max="15" width="17.33203125" style="11" customWidth="1"/>
    <col min="16" max="16" width="4.1640625" style="11" customWidth="1"/>
    <col min="17" max="17" width="17.33203125" style="11" customWidth="1"/>
    <col min="18" max="18" width="3.33203125" style="11" customWidth="1"/>
    <col min="19" max="19" width="17.33203125" style="11" customWidth="1"/>
    <col min="20" max="16384" width="10.83203125" style="11"/>
  </cols>
  <sheetData>
    <row r="2" spans="2:19" ht="19" x14ac:dyDescent="0.25">
      <c r="B2" s="57" t="s">
        <v>0</v>
      </c>
      <c r="C2" s="57"/>
      <c r="D2" s="57"/>
      <c r="E2" s="57"/>
      <c r="F2" s="21"/>
      <c r="G2" s="31"/>
      <c r="H2" s="21"/>
      <c r="J2" s="21"/>
      <c r="L2" s="21"/>
    </row>
    <row r="4" spans="2:19" ht="34" x14ac:dyDescent="0.2">
      <c r="D4" s="12" t="s">
        <v>1</v>
      </c>
      <c r="E4" s="30" t="s">
        <v>26</v>
      </c>
      <c r="F4" s="30"/>
      <c r="G4" s="30"/>
      <c r="H4" s="30"/>
      <c r="I4" s="30"/>
      <c r="J4" s="30"/>
      <c r="K4" s="30"/>
      <c r="L4" s="30"/>
      <c r="M4" s="30"/>
      <c r="O4" s="30"/>
      <c r="Q4" s="30"/>
      <c r="S4" s="30"/>
    </row>
    <row r="5" spans="2:19" x14ac:dyDescent="0.2">
      <c r="D5" s="12"/>
    </row>
    <row r="6" spans="2:19" x14ac:dyDescent="0.2">
      <c r="D6" s="11" t="s">
        <v>2</v>
      </c>
      <c r="E6" s="28">
        <v>2021</v>
      </c>
      <c r="F6" s="32"/>
      <c r="G6" s="28">
        <v>2022</v>
      </c>
      <c r="H6" s="32"/>
      <c r="I6" s="28">
        <v>2031</v>
      </c>
      <c r="J6" s="32"/>
      <c r="K6" s="28">
        <v>2021</v>
      </c>
      <c r="L6" s="32"/>
      <c r="M6" s="28">
        <v>2022</v>
      </c>
      <c r="O6" s="28">
        <v>2031</v>
      </c>
      <c r="Q6" s="28">
        <v>2031</v>
      </c>
      <c r="S6" s="28">
        <v>2031</v>
      </c>
    </row>
    <row r="7" spans="2:19" x14ac:dyDescent="0.2">
      <c r="B7" s="22" t="s">
        <v>20</v>
      </c>
      <c r="D7" s="11" t="s">
        <v>3</v>
      </c>
      <c r="E7" s="8">
        <v>5000</v>
      </c>
      <c r="G7" s="8">
        <v>5000</v>
      </c>
      <c r="I7" s="8">
        <v>5000</v>
      </c>
      <c r="K7" s="8">
        <v>3000</v>
      </c>
      <c r="M7" s="8">
        <v>3000</v>
      </c>
      <c r="O7" s="8">
        <v>6500</v>
      </c>
      <c r="Q7" s="8">
        <v>6500</v>
      </c>
      <c r="S7" s="8">
        <v>5000</v>
      </c>
    </row>
    <row r="8" spans="2:19" x14ac:dyDescent="0.2">
      <c r="B8" s="23" t="s">
        <v>21</v>
      </c>
      <c r="D8" s="11" t="s">
        <v>4</v>
      </c>
      <c r="E8" s="8">
        <v>2000</v>
      </c>
      <c r="G8" s="8">
        <v>2000</v>
      </c>
      <c r="I8" s="8">
        <v>2000</v>
      </c>
      <c r="K8" s="8"/>
      <c r="M8" s="8"/>
      <c r="O8" s="8">
        <v>6800</v>
      </c>
      <c r="Q8" s="8">
        <v>8500</v>
      </c>
      <c r="S8" s="8">
        <v>0</v>
      </c>
    </row>
    <row r="9" spans="2:19" ht="34" x14ac:dyDescent="0.2">
      <c r="B9" s="24" t="s">
        <v>22</v>
      </c>
    </row>
    <row r="10" spans="2:19" x14ac:dyDescent="0.2">
      <c r="B10" s="23" t="s">
        <v>23</v>
      </c>
      <c r="D10" s="11" t="s">
        <v>25</v>
      </c>
      <c r="E10" s="9">
        <v>0.35</v>
      </c>
      <c r="F10" s="33"/>
      <c r="G10" s="9">
        <v>0.35</v>
      </c>
      <c r="H10" s="33"/>
      <c r="I10" s="9">
        <v>0.35</v>
      </c>
      <c r="J10" s="33"/>
      <c r="K10" s="9">
        <v>0.11</v>
      </c>
      <c r="L10" s="33"/>
      <c r="M10" s="9">
        <v>0.37</v>
      </c>
      <c r="O10" s="9">
        <v>0.35</v>
      </c>
      <c r="Q10" s="9">
        <v>0.35</v>
      </c>
      <c r="S10" s="9">
        <v>0.35</v>
      </c>
    </row>
    <row r="11" spans="2:19" x14ac:dyDescent="0.2">
      <c r="D11" s="11" t="s">
        <v>24</v>
      </c>
      <c r="E11" s="9">
        <v>0.35</v>
      </c>
      <c r="F11" s="33"/>
      <c r="G11" s="9">
        <v>0.35</v>
      </c>
      <c r="H11" s="33"/>
      <c r="I11" s="9">
        <v>0.35</v>
      </c>
      <c r="J11" s="33"/>
      <c r="K11" s="9">
        <v>0.35</v>
      </c>
      <c r="L11" s="33"/>
      <c r="M11" s="9">
        <f>M10</f>
        <v>0.37</v>
      </c>
      <c r="O11" s="9">
        <f>O10</f>
        <v>0.35</v>
      </c>
      <c r="Q11" s="9">
        <f>Q10</f>
        <v>0.35</v>
      </c>
      <c r="S11" s="9">
        <f>S10</f>
        <v>0.35</v>
      </c>
    </row>
    <row r="12" spans="2:19" x14ac:dyDescent="0.2">
      <c r="D12" s="11" t="s">
        <v>18</v>
      </c>
      <c r="E12" s="9">
        <v>54.06</v>
      </c>
      <c r="F12" s="33"/>
      <c r="G12" s="9">
        <v>54.06</v>
      </c>
      <c r="H12" s="33"/>
      <c r="I12" s="9">
        <v>54.06</v>
      </c>
      <c r="J12" s="33"/>
      <c r="K12" s="9">
        <v>54.06</v>
      </c>
      <c r="L12" s="33"/>
      <c r="M12" s="9">
        <v>54.06</v>
      </c>
      <c r="O12" s="9">
        <v>54.06</v>
      </c>
      <c r="Q12" s="9">
        <v>54.06</v>
      </c>
      <c r="S12" s="9">
        <v>54.06</v>
      </c>
    </row>
    <row r="14" spans="2:19" x14ac:dyDescent="0.2">
      <c r="D14" s="11" t="s">
        <v>8</v>
      </c>
      <c r="E14" s="10">
        <f>SUM(E16:E18)</f>
        <v>1544.1215349999998</v>
      </c>
      <c r="F14" s="34"/>
      <c r="G14" s="10">
        <f>SUM(G16:G18)</f>
        <v>1021.103975</v>
      </c>
      <c r="H14" s="34"/>
      <c r="I14" s="10">
        <f>SUM(I16:I18)</f>
        <v>1271.4153649999998</v>
      </c>
      <c r="J14" s="34"/>
      <c r="K14" s="10">
        <f>SUM(K16:K18)</f>
        <v>672.92153499999984</v>
      </c>
      <c r="L14" s="34"/>
      <c r="M14" s="10">
        <f>SUM(M16:M18)</f>
        <v>1090.103975</v>
      </c>
      <c r="O14" s="10">
        <f>SUM(O16:O18)</f>
        <v>21.64266499999988</v>
      </c>
      <c r="Q14" s="10">
        <f>SUM(Q16:Q18)</f>
        <v>-698.30733500000019</v>
      </c>
      <c r="S14" s="10">
        <f>SUM(S16:S18)</f>
        <v>2118.4153649999998</v>
      </c>
    </row>
    <row r="16" spans="2:19" x14ac:dyDescent="0.2">
      <c r="D16" s="11" t="s">
        <v>5</v>
      </c>
      <c r="E16" s="13">
        <f>E23*(E18+E17)+(1+E23)*(E28*(E21+E22)-E24)</f>
        <v>232.7780349999999</v>
      </c>
      <c r="F16" s="35"/>
      <c r="G16" s="13">
        <f>G23*(G18+G17)+(1+G23)*(G28*(G21+G22)-G24)</f>
        <v>-304.18252499999994</v>
      </c>
      <c r="H16" s="35"/>
      <c r="I16" s="13">
        <f>I23*(I18+I17)+(1+I23)*(I28*(I21+I22)-I24)</f>
        <v>-53.871135000000038</v>
      </c>
      <c r="J16" s="35"/>
      <c r="K16" s="13">
        <f>K23*(K18+K17)+(1+K23)*(K28*(K21+K22)-K24)</f>
        <v>81.578034999999886</v>
      </c>
      <c r="L16" s="35"/>
      <c r="M16" s="13">
        <f>M23*(M18+M17)+(1+M23)*(M28*(M21+M22)-M24)</f>
        <v>-295.18252499999994</v>
      </c>
      <c r="O16" s="13">
        <f>O23*(O18+O17)+(1+O23)*(O28*(O21+O22)-O24)</f>
        <v>-148.64383500000011</v>
      </c>
      <c r="Q16" s="13">
        <f>Q23*(Q18+Q17)+(1+Q23)*(Q28*(Q21+Q22)-Q24)</f>
        <v>-273.59383500000013</v>
      </c>
      <c r="S16" s="13">
        <f>S23*(S18+S17)+(1+S23)*(S28*(S21+S22)-S24)</f>
        <v>93.128864999999962</v>
      </c>
    </row>
    <row r="17" spans="2:19" x14ac:dyDescent="0.2">
      <c r="D17" s="11" t="s">
        <v>7</v>
      </c>
      <c r="E17" s="13">
        <f>E10*E7-E11*E8+E12</f>
        <v>1104.06</v>
      </c>
      <c r="F17" s="35"/>
      <c r="G17" s="13">
        <f>G10*G7-G11*G8+G12</f>
        <v>1104.06</v>
      </c>
      <c r="H17" s="35"/>
      <c r="I17" s="13">
        <f>I10*I7-I11*I8+I12</f>
        <v>1104.06</v>
      </c>
      <c r="J17" s="35"/>
      <c r="K17" s="13">
        <f>K10*K7-K11*K8+K12</f>
        <v>384.06</v>
      </c>
      <c r="L17" s="35"/>
      <c r="M17" s="13">
        <f>M10*M7-M11*M8+M12</f>
        <v>1164.06</v>
      </c>
      <c r="O17" s="13">
        <f>O10*O7-O11*O8+O12</f>
        <v>-50.94</v>
      </c>
      <c r="Q17" s="13">
        <f>Q10*Q7-Q11*Q8+Q12</f>
        <v>-645.94000000000005</v>
      </c>
      <c r="S17" s="13">
        <f>S10*S7-S11*S8+S12</f>
        <v>1804.06</v>
      </c>
    </row>
    <row r="18" spans="2:19" x14ac:dyDescent="0.2">
      <c r="D18" s="11" t="s">
        <v>6</v>
      </c>
      <c r="E18" s="14">
        <f>E26</f>
        <v>207.28349999999998</v>
      </c>
      <c r="F18" s="36"/>
      <c r="G18" s="14">
        <f>G26</f>
        <v>221.22649999999999</v>
      </c>
      <c r="H18" s="36"/>
      <c r="I18" s="14">
        <f>I26</f>
        <v>221.22649999999999</v>
      </c>
      <c r="J18" s="36"/>
      <c r="K18" s="14">
        <f>K26</f>
        <v>207.28349999999998</v>
      </c>
      <c r="L18" s="36"/>
      <c r="M18" s="14">
        <f>M26</f>
        <v>221.22649999999999</v>
      </c>
      <c r="O18" s="14">
        <f>O26</f>
        <v>221.22649999999999</v>
      </c>
      <c r="Q18" s="14">
        <f>Q26</f>
        <v>221.22649999999999</v>
      </c>
      <c r="S18" s="14">
        <f>S26</f>
        <v>221.22649999999999</v>
      </c>
    </row>
    <row r="20" spans="2:19" x14ac:dyDescent="0.2">
      <c r="D20" s="12" t="s">
        <v>10</v>
      </c>
    </row>
    <row r="21" spans="2:19" x14ac:dyDescent="0.2">
      <c r="B21" s="25" t="s">
        <v>14</v>
      </c>
      <c r="D21" s="11" t="s">
        <v>9</v>
      </c>
      <c r="E21" s="26">
        <f>HLOOKUP(Berekening!E$6,Data!$C$5:$U$11,2,TRUE)</f>
        <v>0.11409999999999999</v>
      </c>
      <c r="F21" s="37"/>
      <c r="G21" s="26">
        <f>HLOOKUP(Berekening!G$6,Data!$C$5:$U$11,2,TRUE)</f>
        <v>4.4519999999999997E-2</v>
      </c>
      <c r="H21" s="37"/>
      <c r="I21" s="26">
        <f>HLOOKUP(Berekening!I$6,Data!$C$5:$U$11,2,TRUE)</f>
        <v>4.4519999999999997E-2</v>
      </c>
      <c r="J21" s="37"/>
      <c r="K21" s="26">
        <f>HLOOKUP(Berekening!K$6,Data!$C$5:$U$11,2,TRUE)</f>
        <v>0.11409999999999999</v>
      </c>
      <c r="L21" s="37"/>
      <c r="M21" s="26">
        <f>HLOOKUP(Berekening!M$6,Data!$C$5:$U$11,2,TRUE)</f>
        <v>4.4519999999999997E-2</v>
      </c>
      <c r="O21" s="26">
        <f>HLOOKUP(Berekening!O$6,Data!$C$5:$U$11,2,TRUE)</f>
        <v>4.4519999999999997E-2</v>
      </c>
      <c r="Q21" s="26">
        <f>HLOOKUP(Berekening!Q$6,Data!$C$5:$U$11,2,TRUE)</f>
        <v>4.4519999999999997E-2</v>
      </c>
      <c r="S21" s="26">
        <f>HLOOKUP(Berekening!S$6,Data!$C$5:$U$11,2,TRUE)</f>
        <v>4.4519999999999997E-2</v>
      </c>
    </row>
    <row r="22" spans="2:19" x14ac:dyDescent="0.2">
      <c r="B22" s="25" t="s">
        <v>14</v>
      </c>
      <c r="D22" s="11" t="s">
        <v>11</v>
      </c>
      <c r="E22" s="27">
        <f>HLOOKUP(Berekening!E$6,Data!$C$5:$U$11,3,TRUE)</f>
        <v>3.6299999999999999E-2</v>
      </c>
      <c r="F22" s="33"/>
      <c r="G22" s="27">
        <f>HLOOKUP(Berekening!G$6,Data!$C$5:$U$11,3,TRUE)</f>
        <v>3.6900000000000002E-2</v>
      </c>
      <c r="H22" s="33"/>
      <c r="I22" s="27">
        <f>HLOOKUP(Berekening!I$6,Data!$C$5:$U$11,3,TRUE)</f>
        <v>3.6900000000000002E-2</v>
      </c>
      <c r="J22" s="33"/>
      <c r="K22" s="27">
        <f>HLOOKUP(Berekening!K$6,Data!$C$5:$U$11,3,TRUE)</f>
        <v>3.6299999999999999E-2</v>
      </c>
      <c r="L22" s="33"/>
      <c r="M22" s="27">
        <f>HLOOKUP(Berekening!M$6,Data!$C$5:$U$11,3,TRUE)</f>
        <v>3.6900000000000002E-2</v>
      </c>
      <c r="O22" s="27">
        <f>HLOOKUP(Berekening!O$6,Data!$C$5:$U$11,3,TRUE)</f>
        <v>3.6900000000000002E-2</v>
      </c>
      <c r="Q22" s="27">
        <f>HLOOKUP(Berekening!Q$6,Data!$C$5:$U$11,3,TRUE)</f>
        <v>3.6900000000000002E-2</v>
      </c>
      <c r="S22" s="27">
        <f>HLOOKUP(Berekening!S$6,Data!$C$5:$U$11,3,TRUE)</f>
        <v>3.6900000000000002E-2</v>
      </c>
    </row>
    <row r="23" spans="2:19" x14ac:dyDescent="0.2">
      <c r="B23" s="25" t="s">
        <v>14</v>
      </c>
      <c r="D23" s="11" t="s">
        <v>12</v>
      </c>
      <c r="E23" s="15">
        <f>HLOOKUP(Berekening!E$6,Data!$C$5:$U$11,4,TRUE)</f>
        <v>0.21</v>
      </c>
      <c r="F23" s="38"/>
      <c r="G23" s="15">
        <f>HLOOKUP(Berekening!G$6,Data!$C$5:$U$11,4,TRUE)</f>
        <v>0.15</v>
      </c>
      <c r="H23" s="38"/>
      <c r="I23" s="15">
        <f>HLOOKUP(Berekening!I$6,Data!$C$5:$U$11,4,TRUE)</f>
        <v>0.21</v>
      </c>
      <c r="J23" s="38"/>
      <c r="K23" s="15">
        <f>HLOOKUP(Berekening!K$6,Data!$C$5:$U$11,4,TRUE)</f>
        <v>0.21</v>
      </c>
      <c r="L23" s="38"/>
      <c r="M23" s="15">
        <f>HLOOKUP(Berekening!M$6,Data!$C$5:$U$11,4,TRUE)</f>
        <v>0.15</v>
      </c>
      <c r="O23" s="15">
        <f>HLOOKUP(Berekening!O$6,Data!$C$5:$U$11,4,TRUE)</f>
        <v>0.21</v>
      </c>
      <c r="Q23" s="15">
        <f>HLOOKUP(Berekening!Q$6,Data!$C$5:$U$11,4,TRUE)</f>
        <v>0.21</v>
      </c>
      <c r="S23" s="15">
        <f>HLOOKUP(Berekening!S$6,Data!$C$5:$U$11,4,TRUE)</f>
        <v>0.21</v>
      </c>
    </row>
    <row r="24" spans="2:19" x14ac:dyDescent="0.2">
      <c r="B24" s="25" t="s">
        <v>14</v>
      </c>
      <c r="D24" s="11" t="s">
        <v>13</v>
      </c>
      <c r="E24" s="16">
        <f>HLOOKUP(Berekening!E$6,Data!$C$5:$U$11,5,TRUE)</f>
        <v>486.41</v>
      </c>
      <c r="F24" s="34"/>
      <c r="G24" s="16">
        <f>HLOOKUP(Berekening!G$6,Data!$C$5:$U$11,5,TRUE)</f>
        <v>681.63</v>
      </c>
      <c r="H24" s="34"/>
      <c r="I24" s="16">
        <f>HLOOKUP(Berekening!I$6,Data!$C$5:$U$11,5,TRUE)</f>
        <v>681.63</v>
      </c>
      <c r="J24" s="34"/>
      <c r="K24" s="16">
        <f>HLOOKUP(Berekening!K$6,Data!$C$5:$U$11,5,TRUE)</f>
        <v>486.41</v>
      </c>
      <c r="L24" s="34"/>
      <c r="M24" s="16">
        <f>HLOOKUP(Berekening!M$6,Data!$C$5:$U$11,5,TRUE)</f>
        <v>681.63</v>
      </c>
      <c r="O24" s="16">
        <f>HLOOKUP(Berekening!O$6,Data!$C$5:$U$11,5,TRUE)</f>
        <v>681.63</v>
      </c>
      <c r="Q24" s="16">
        <f>HLOOKUP(Berekening!Q$6,Data!$C$5:$U$11,5,TRUE)</f>
        <v>681.63</v>
      </c>
      <c r="S24" s="16">
        <f>HLOOKUP(Berekening!S$6,Data!$C$5:$U$11,5,TRUE)</f>
        <v>681.63</v>
      </c>
    </row>
    <row r="25" spans="2:19" x14ac:dyDescent="0.2">
      <c r="B25" s="25" t="s">
        <v>14</v>
      </c>
      <c r="D25" s="11" t="s">
        <v>17</v>
      </c>
      <c r="E25" s="15">
        <f>HLOOKUP(Berekening!E$6,Data!$C$5:$U$11,6,TRUE)</f>
        <v>1</v>
      </c>
      <c r="F25" s="38"/>
      <c r="G25" s="15">
        <f>HLOOKUP(Berekening!G$6,Data!$C$5:$U$11,6,TRUE)</f>
        <v>1</v>
      </c>
      <c r="H25" s="38"/>
      <c r="I25" s="15">
        <f>HLOOKUP(Berekening!I$6,Data!$C$5:$U$11,6,TRUE)</f>
        <v>0</v>
      </c>
      <c r="J25" s="38"/>
      <c r="K25" s="15">
        <f>HLOOKUP(Berekening!K$6,Data!$C$5:$U$11,6,TRUE)</f>
        <v>1</v>
      </c>
      <c r="L25" s="38"/>
      <c r="M25" s="15">
        <f>HLOOKUP(Berekening!M$6,Data!$C$5:$U$11,6,TRUE)</f>
        <v>1</v>
      </c>
      <c r="O25" s="15">
        <f>HLOOKUP(Berekening!O$6,Data!$C$5:$U$11,6,TRUE)</f>
        <v>0</v>
      </c>
      <c r="Q25" s="15">
        <f>HLOOKUP(Berekening!Q$6,Data!$C$5:$U$11,6,TRUE)</f>
        <v>0</v>
      </c>
      <c r="S25" s="15">
        <f>HLOOKUP(Berekening!S$6,Data!$C$5:$U$11,6,TRUE)</f>
        <v>0</v>
      </c>
    </row>
    <row r="26" spans="2:19" x14ac:dyDescent="0.2">
      <c r="B26" s="25" t="s">
        <v>16</v>
      </c>
      <c r="D26" s="11" t="s">
        <v>15</v>
      </c>
      <c r="E26" s="17">
        <f>HLOOKUP(Berekening!E$6,Data!$C$5:$U$11,7,TRUE)</f>
        <v>207.28349999999998</v>
      </c>
      <c r="F26" s="34"/>
      <c r="G26" s="17">
        <f>HLOOKUP(Berekening!G$6,Data!$C$5:$U$11,7,TRUE)</f>
        <v>221.22649999999999</v>
      </c>
      <c r="H26" s="34"/>
      <c r="I26" s="17">
        <f>HLOOKUP(Berekening!I$6,Data!$C$5:$U$11,7,TRUE)</f>
        <v>221.22649999999999</v>
      </c>
      <c r="J26" s="34"/>
      <c r="K26" s="17">
        <f>HLOOKUP(Berekening!K$6,Data!$C$5:$U$11,7,TRUE)</f>
        <v>207.28349999999998</v>
      </c>
      <c r="L26" s="34"/>
      <c r="M26" s="17">
        <f>HLOOKUP(Berekening!M$6,Data!$C$5:$U$11,7,TRUE)</f>
        <v>221.22649999999999</v>
      </c>
      <c r="O26" s="17">
        <f>HLOOKUP(Berekening!O$6,Data!$C$5:$U$11,7,TRUE)</f>
        <v>221.22649999999999</v>
      </c>
      <c r="Q26" s="17">
        <f>HLOOKUP(Berekening!Q$6,Data!$C$5:$U$11,7,TRUE)</f>
        <v>221.22649999999999</v>
      </c>
      <c r="S26" s="17">
        <f>HLOOKUP(Berekening!S$6,Data!$C$5:$U$11,7,TRUE)</f>
        <v>221.22649999999999</v>
      </c>
    </row>
    <row r="28" spans="2:19" x14ac:dyDescent="0.2">
      <c r="D28" s="11" t="s">
        <v>19</v>
      </c>
      <c r="E28" s="11">
        <f>IF(E8&gt;=E7,(1-E25)*E7,E7-E25*E8)</f>
        <v>3000</v>
      </c>
      <c r="G28" s="11">
        <f>IF(G8&gt;=G7,(1-G25)*G7,G7-G25*G8)</f>
        <v>3000</v>
      </c>
      <c r="I28" s="11">
        <f>IF(I8&gt;=I7,(1-I25)*I7,I7-I25*I8)</f>
        <v>5000</v>
      </c>
      <c r="K28" s="11">
        <f>IF(K8&gt;=K7,(1-K25)*K7,K7-K25*K8)</f>
        <v>3000</v>
      </c>
      <c r="M28" s="11">
        <f>IF(M8&gt;=M7,(1-M25)*M7,M7-M25*M8)</f>
        <v>3000</v>
      </c>
      <c r="O28" s="11">
        <f>IF(O8&gt;=O7,(1-O25)*O7,O7-O25*O8)</f>
        <v>6500</v>
      </c>
      <c r="Q28" s="11">
        <f>IF(Q8&gt;=Q7,(1-Q25)*Q7,Q7-Q25*Q8)</f>
        <v>6500</v>
      </c>
      <c r="S28" s="11">
        <f>IF(S8&gt;=S7,(1-S25)*S7,S7-S25*S8)</f>
        <v>5000</v>
      </c>
    </row>
  </sheetData>
  <mergeCells count="1">
    <mergeCell ref="B2:E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AA639-46FC-DD40-8BCA-3B0B25E60386}">
  <dimension ref="B5:U11"/>
  <sheetViews>
    <sheetView zoomScale="14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L9" sqref="L9"/>
    </sheetView>
  </sheetViews>
  <sheetFormatPr baseColWidth="10" defaultRowHeight="16" x14ac:dyDescent="0.2"/>
  <cols>
    <col min="2" max="2" width="35" customWidth="1"/>
    <col min="3" max="3" width="16.6640625" bestFit="1" customWidth="1"/>
    <col min="4" max="5" width="12.83203125" bestFit="1" customWidth="1"/>
    <col min="6" max="7" width="13.83203125" bestFit="1" customWidth="1"/>
    <col min="8" max="9" width="12.83203125" bestFit="1" customWidth="1"/>
    <col min="10" max="11" width="13.83203125" bestFit="1" customWidth="1"/>
    <col min="12" max="12" width="14" customWidth="1"/>
    <col min="13" max="13" width="12.5" customWidth="1"/>
    <col min="14" max="14" width="14.5" customWidth="1"/>
    <col min="15" max="15" width="14.1640625" customWidth="1"/>
    <col min="16" max="16" width="12.1640625" customWidth="1"/>
    <col min="17" max="17" width="13.5" customWidth="1"/>
    <col min="18" max="18" width="14.1640625" customWidth="1"/>
    <col min="19" max="19" width="14.33203125" customWidth="1"/>
    <col min="20" max="20" width="16.33203125" customWidth="1"/>
    <col min="21" max="21" width="13" customWidth="1"/>
  </cols>
  <sheetData>
    <row r="5" spans="2:21" x14ac:dyDescent="0.2">
      <c r="C5" s="1">
        <v>2013</v>
      </c>
      <c r="D5" s="1">
        <v>2014</v>
      </c>
      <c r="E5" s="1">
        <v>2015</v>
      </c>
      <c r="F5" s="1">
        <v>2016</v>
      </c>
      <c r="G5" s="1">
        <v>2017</v>
      </c>
      <c r="H5" s="1">
        <v>2018</v>
      </c>
      <c r="I5" s="1">
        <v>2019</v>
      </c>
      <c r="J5" s="1">
        <v>2020</v>
      </c>
      <c r="K5" s="1">
        <v>2021</v>
      </c>
      <c r="L5" s="1">
        <v>2022</v>
      </c>
      <c r="M5" s="1">
        <v>2023</v>
      </c>
      <c r="N5" s="1">
        <v>2024</v>
      </c>
      <c r="O5" s="1">
        <v>2025</v>
      </c>
      <c r="P5" s="1">
        <v>2026</v>
      </c>
      <c r="Q5" s="1">
        <v>2027</v>
      </c>
      <c r="R5" s="1">
        <v>2028</v>
      </c>
      <c r="S5" s="1">
        <v>2029</v>
      </c>
      <c r="T5" s="1">
        <v>2030</v>
      </c>
      <c r="U5" s="1">
        <v>2031</v>
      </c>
    </row>
    <row r="6" spans="2:21" x14ac:dyDescent="0.2">
      <c r="B6" t="s">
        <v>9</v>
      </c>
      <c r="C6" s="3">
        <v>0.11650000000000001</v>
      </c>
      <c r="D6" s="3">
        <v>0.11849999999999999</v>
      </c>
      <c r="E6" s="3">
        <v>0.1196</v>
      </c>
      <c r="F6" s="3">
        <v>0.1007</v>
      </c>
      <c r="G6" s="3">
        <v>0.1013</v>
      </c>
      <c r="H6" s="3">
        <v>0.10458000000000001</v>
      </c>
      <c r="I6" s="3">
        <v>9.8589999999999997E-2</v>
      </c>
      <c r="J6" s="3">
        <v>0.1183</v>
      </c>
      <c r="K6" s="3">
        <v>0.11409999999999999</v>
      </c>
      <c r="L6" s="3">
        <v>4.4519999999999997E-2</v>
      </c>
      <c r="M6" s="18">
        <v>4.4519999999999997E-2</v>
      </c>
      <c r="N6" s="18">
        <v>4.4519999999999997E-2</v>
      </c>
      <c r="O6" s="18">
        <v>4.4519999999999997E-2</v>
      </c>
      <c r="P6" s="18">
        <v>4.4519999999999997E-2</v>
      </c>
      <c r="Q6" s="18">
        <v>4.4519999999999997E-2</v>
      </c>
      <c r="R6" s="18">
        <v>4.4519999999999997E-2</v>
      </c>
      <c r="S6" s="18">
        <v>4.4519999999999997E-2</v>
      </c>
      <c r="T6" s="18">
        <v>4.4519999999999997E-2</v>
      </c>
      <c r="U6" s="18">
        <v>4.4519999999999997E-2</v>
      </c>
    </row>
    <row r="7" spans="2:21" x14ac:dyDescent="0.2">
      <c r="B7" t="s">
        <v>11</v>
      </c>
      <c r="C7" s="4">
        <v>1.1000000000000001E-3</v>
      </c>
      <c r="D7" s="4">
        <v>2.3E-3</v>
      </c>
      <c r="E7" s="4">
        <v>3.5999999999999999E-3</v>
      </c>
      <c r="F7" s="4">
        <v>5.5999999999999999E-3</v>
      </c>
      <c r="G7" s="4">
        <v>7.4000000000000003E-3</v>
      </c>
      <c r="H7" s="4">
        <v>1.32E-2</v>
      </c>
      <c r="I7" s="4">
        <v>1.89E-2</v>
      </c>
      <c r="J7" s="4">
        <v>3.3000000000000002E-2</v>
      </c>
      <c r="K7" s="4">
        <v>3.6299999999999999E-2</v>
      </c>
      <c r="L7" s="4">
        <v>3.6900000000000002E-2</v>
      </c>
      <c r="M7" s="19">
        <v>3.6900000000000002E-2</v>
      </c>
      <c r="N7" s="19">
        <v>3.6900000000000002E-2</v>
      </c>
      <c r="O7" s="19">
        <v>3.6900000000000002E-2</v>
      </c>
      <c r="P7" s="19">
        <v>3.6900000000000002E-2</v>
      </c>
      <c r="Q7" s="19">
        <v>3.6900000000000002E-2</v>
      </c>
      <c r="R7" s="19">
        <v>3.6900000000000002E-2</v>
      </c>
      <c r="S7" s="19">
        <v>3.6900000000000002E-2</v>
      </c>
      <c r="T7" s="19">
        <v>3.6900000000000002E-2</v>
      </c>
      <c r="U7" s="19">
        <v>3.6900000000000002E-2</v>
      </c>
    </row>
    <row r="8" spans="2:21" x14ac:dyDescent="0.2">
      <c r="B8" t="s">
        <v>12</v>
      </c>
      <c r="C8" s="5">
        <v>0.21</v>
      </c>
      <c r="D8" s="5">
        <v>0.21</v>
      </c>
      <c r="E8" s="5">
        <v>0.21</v>
      </c>
      <c r="F8" s="5">
        <v>0.21</v>
      </c>
      <c r="G8" s="5">
        <v>0.21</v>
      </c>
      <c r="H8" s="5">
        <v>0.21</v>
      </c>
      <c r="I8" s="5">
        <v>0.21</v>
      </c>
      <c r="J8" s="5">
        <v>0.21</v>
      </c>
      <c r="K8" s="5">
        <v>0.21</v>
      </c>
      <c r="L8" s="5">
        <v>0.15</v>
      </c>
      <c r="M8" s="20">
        <v>0.21</v>
      </c>
      <c r="N8" s="20">
        <v>0.21</v>
      </c>
      <c r="O8" s="20">
        <v>0.21</v>
      </c>
      <c r="P8" s="20">
        <v>0.21</v>
      </c>
      <c r="Q8" s="20">
        <v>0.21</v>
      </c>
      <c r="R8" s="20">
        <v>0.21</v>
      </c>
      <c r="S8" s="20">
        <v>0.21</v>
      </c>
      <c r="T8" s="20">
        <v>0.21</v>
      </c>
      <c r="U8" s="20">
        <v>0.21</v>
      </c>
    </row>
    <row r="9" spans="2:21" x14ac:dyDescent="0.2">
      <c r="B9" t="s">
        <v>13</v>
      </c>
      <c r="C9" s="6">
        <v>318.62</v>
      </c>
      <c r="D9" s="6">
        <v>318.62</v>
      </c>
      <c r="E9" s="6">
        <v>311.83999999999997</v>
      </c>
      <c r="F9" s="6">
        <v>310.81</v>
      </c>
      <c r="G9" s="6">
        <v>308.54000000000002</v>
      </c>
      <c r="H9" s="6">
        <v>308.54000000000002</v>
      </c>
      <c r="I9" s="6">
        <v>275.54000000000002</v>
      </c>
      <c r="J9" s="6">
        <v>435.68</v>
      </c>
      <c r="K9" s="6">
        <v>486.41</v>
      </c>
      <c r="L9" s="6">
        <v>681.63</v>
      </c>
      <c r="M9" s="7">
        <v>681.63</v>
      </c>
      <c r="N9" s="7">
        <v>681.63</v>
      </c>
      <c r="O9" s="7">
        <v>681.63</v>
      </c>
      <c r="P9" s="7">
        <v>681.63</v>
      </c>
      <c r="Q9" s="7">
        <v>681.63</v>
      </c>
      <c r="R9" s="7">
        <v>681.63</v>
      </c>
      <c r="S9" s="7">
        <v>681.63</v>
      </c>
      <c r="T9" s="7">
        <v>681.63</v>
      </c>
      <c r="U9" s="7">
        <v>681.63</v>
      </c>
    </row>
    <row r="10" spans="2:21" x14ac:dyDescent="0.2">
      <c r="B10" t="s">
        <v>17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20">
        <v>1</v>
      </c>
      <c r="N10" s="20">
        <v>1</v>
      </c>
      <c r="O10" s="20">
        <v>0.64</v>
      </c>
      <c r="P10" s="20">
        <v>0.55000000000000004</v>
      </c>
      <c r="Q10" s="20">
        <v>0.46</v>
      </c>
      <c r="R10" s="20">
        <v>0.37</v>
      </c>
      <c r="S10" s="20">
        <v>0.28000000000000003</v>
      </c>
      <c r="T10" s="20">
        <v>0</v>
      </c>
      <c r="U10" s="20">
        <v>0</v>
      </c>
    </row>
    <row r="11" spans="2:21" x14ac:dyDescent="0.2">
      <c r="B11" t="s">
        <v>15</v>
      </c>
      <c r="C11" s="6">
        <f>143.04</f>
        <v>143.04</v>
      </c>
      <c r="D11" s="6">
        <f>199.36</f>
        <v>199.36</v>
      </c>
      <c r="E11" s="6">
        <v>188.12</v>
      </c>
      <c r="F11" s="6">
        <v>189.37</v>
      </c>
      <c r="G11" s="6">
        <f>179.8</f>
        <v>179.8</v>
      </c>
      <c r="H11" s="6">
        <f>185.35</f>
        <v>185.35</v>
      </c>
      <c r="I11" s="6">
        <f>230.54/1.21</f>
        <v>190.52892561983472</v>
      </c>
      <c r="J11" s="6">
        <f>232.33/1.21</f>
        <v>192.00826446280993</v>
      </c>
      <c r="K11">
        <f>0.5679*365</f>
        <v>207.28349999999998</v>
      </c>
      <c r="L11">
        <f>0.6061*365</f>
        <v>221.22649999999999</v>
      </c>
      <c r="M11" s="2">
        <f t="shared" ref="M11:U11" si="0">0.6061*365</f>
        <v>221.22649999999999</v>
      </c>
      <c r="N11" s="2">
        <f t="shared" si="0"/>
        <v>221.22649999999999</v>
      </c>
      <c r="O11" s="2">
        <f t="shared" si="0"/>
        <v>221.22649999999999</v>
      </c>
      <c r="P11" s="2">
        <f t="shared" si="0"/>
        <v>221.22649999999999</v>
      </c>
      <c r="Q11" s="2">
        <f t="shared" si="0"/>
        <v>221.22649999999999</v>
      </c>
      <c r="R11" s="2">
        <f t="shared" si="0"/>
        <v>221.22649999999999</v>
      </c>
      <c r="S11" s="2">
        <f t="shared" si="0"/>
        <v>221.22649999999999</v>
      </c>
      <c r="T11" s="2">
        <f t="shared" si="0"/>
        <v>221.22649999999999</v>
      </c>
      <c r="U11" s="2">
        <f t="shared" si="0"/>
        <v>221.22649999999999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Berekening Johan</vt:lpstr>
      <vt:lpstr>Artikel - 2</vt:lpstr>
      <vt:lpstr>Artikel - 1</vt:lpstr>
      <vt:lpstr>Berekening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van der Stoel</dc:creator>
  <cp:lastModifiedBy>Johan van der Stoel</cp:lastModifiedBy>
  <dcterms:created xsi:type="dcterms:W3CDTF">2022-05-24T19:26:03Z</dcterms:created>
  <dcterms:modified xsi:type="dcterms:W3CDTF">2022-06-12T13:59:18Z</dcterms:modified>
</cp:coreProperties>
</file>