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dstoel-my.sharepoint.com/personal/johan_vdstoel_nl/Documents/Johan/blog/"/>
    </mc:Choice>
  </mc:AlternateContent>
  <xr:revisionPtr revIDLastSave="1164" documentId="8_{70AA9479-DBFA-0040-A2A5-A35B9003F13C}" xr6:coauthVersionLast="47" xr6:coauthVersionMax="47" xr10:uidLastSave="{99098755-956F-4B4E-84B7-64B817920D74}"/>
  <bookViews>
    <workbookView xWindow="11160" yWindow="-22680" windowWidth="27100" windowHeight="20720" xr2:uid="{7E36FE48-AAAC-4944-8209-4D89066E518D}"/>
  </bookViews>
  <sheets>
    <sheet name="analys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2" l="1"/>
  <c r="D33" i="2"/>
  <c r="F26" i="2"/>
  <c r="D26" i="2"/>
  <c r="D6" i="2"/>
  <c r="G6" i="2"/>
  <c r="D13" i="2"/>
  <c r="D82" i="2"/>
  <c r="D81" i="2"/>
  <c r="D80" i="2"/>
  <c r="G78" i="2"/>
  <c r="G49" i="2"/>
  <c r="D52" i="2"/>
  <c r="D51" i="2"/>
  <c r="F46" i="2"/>
  <c r="F45" i="2"/>
  <c r="E44" i="2"/>
  <c r="F41" i="2"/>
  <c r="G17" i="2"/>
  <c r="F17" i="2"/>
  <c r="E17" i="2"/>
  <c r="G13" i="2"/>
  <c r="F13" i="2"/>
  <c r="E13" i="2"/>
  <c r="D17" i="2"/>
  <c r="D83" i="2" s="1"/>
  <c r="D53" i="2"/>
  <c r="D56" i="2" l="1"/>
  <c r="D86" i="2" s="1"/>
  <c r="F58" i="2"/>
  <c r="G58" i="2" s="1"/>
  <c r="H58" i="2" s="1"/>
  <c r="I58" i="2" s="1"/>
  <c r="J58" i="2" s="1"/>
  <c r="I57" i="2"/>
  <c r="J57" i="2" s="1"/>
  <c r="H57" i="2"/>
  <c r="F57" i="2"/>
  <c r="G57" i="2" s="1"/>
  <c r="F70" i="2"/>
  <c r="G41" i="2"/>
  <c r="I41" i="2" s="1"/>
  <c r="J41" i="2" s="1"/>
  <c r="J78" i="2"/>
  <c r="J49" i="2"/>
  <c r="I46" i="2"/>
  <c r="F75" i="2"/>
  <c r="I75" i="2" s="1"/>
  <c r="I81" i="2" s="1"/>
  <c r="F74" i="2"/>
  <c r="G74" i="2" s="1"/>
  <c r="E73" i="2"/>
  <c r="E80" i="2" s="1"/>
  <c r="H81" i="2"/>
  <c r="E81" i="2"/>
  <c r="H78" i="2"/>
  <c r="E78" i="2"/>
  <c r="G70" i="2" l="1"/>
  <c r="I70" i="2" s="1"/>
  <c r="J70" i="2" s="1"/>
  <c r="E86" i="2"/>
  <c r="G77" i="2"/>
  <c r="G75" i="2" s="1"/>
  <c r="G81" i="2" s="1"/>
  <c r="I83" i="2"/>
  <c r="G83" i="2"/>
  <c r="F83" i="2"/>
  <c r="E83" i="2"/>
  <c r="J83" i="2"/>
  <c r="H83" i="2"/>
  <c r="F77" i="2"/>
  <c r="F78" i="2" s="1"/>
  <c r="F81" i="2"/>
  <c r="J74" i="2"/>
  <c r="I74" i="2"/>
  <c r="I77" i="2" s="1"/>
  <c r="I78" i="2" s="1"/>
  <c r="E82" i="2"/>
  <c r="F73" i="2"/>
  <c r="F86" i="2" s="1"/>
  <c r="E90" i="2" l="1"/>
  <c r="E91" i="2" s="1"/>
  <c r="E92" i="2" s="1"/>
  <c r="D31" i="2" s="1"/>
  <c r="F80" i="2"/>
  <c r="F82" i="2"/>
  <c r="J77" i="2"/>
  <c r="J75" i="2" s="1"/>
  <c r="J81" i="2" s="1"/>
  <c r="G73" i="2"/>
  <c r="G80" i="2" s="1"/>
  <c r="G86" i="2"/>
  <c r="F90" i="2" l="1"/>
  <c r="F91" i="2" s="1"/>
  <c r="F92" i="2" s="1"/>
  <c r="F94" i="2" s="1"/>
  <c r="G82" i="2"/>
  <c r="G90" i="2" s="1"/>
  <c r="G91" i="2" s="1"/>
  <c r="G92" i="2" s="1"/>
  <c r="H73" i="2"/>
  <c r="G96" i="2" l="1"/>
  <c r="D35" i="2" s="1"/>
  <c r="F95" i="2"/>
  <c r="D34" i="2" s="1"/>
  <c r="D32" i="2"/>
  <c r="I73" i="2"/>
  <c r="H82" i="2"/>
  <c r="H86" i="2"/>
  <c r="H80" i="2"/>
  <c r="H90" i="2" l="1"/>
  <c r="H91" i="2" s="1"/>
  <c r="H92" i="2" s="1"/>
  <c r="F31" i="2" s="1"/>
  <c r="I86" i="2"/>
  <c r="J73" i="2"/>
  <c r="I82" i="2"/>
  <c r="I80" i="2"/>
  <c r="I90" i="2" l="1"/>
  <c r="I91" i="2" s="1"/>
  <c r="I92" i="2" s="1"/>
  <c r="I94" i="2" s="1"/>
  <c r="J82" i="2"/>
  <c r="J86" i="2"/>
  <c r="J80" i="2"/>
  <c r="I95" i="2" l="1"/>
  <c r="F34" i="2" s="1"/>
  <c r="F32" i="2"/>
  <c r="J90" i="2"/>
  <c r="J91" i="2" s="1"/>
  <c r="J92" i="2" s="1"/>
  <c r="J96" i="2" s="1"/>
  <c r="F35" i="2" s="1"/>
  <c r="E56" i="2" l="1"/>
  <c r="J53" i="2"/>
  <c r="I53" i="2"/>
  <c r="H53" i="2"/>
  <c r="G53" i="2"/>
  <c r="F53" i="2"/>
  <c r="E53" i="2"/>
  <c r="I52" i="2"/>
  <c r="H52" i="2"/>
  <c r="F52" i="2"/>
  <c r="E52" i="2"/>
  <c r="E51" i="2"/>
  <c r="H49" i="2"/>
  <c r="G45" i="2"/>
  <c r="F44" i="2"/>
  <c r="G44" i="2" s="1"/>
  <c r="H44" i="2" s="1"/>
  <c r="H51" i="2" s="1"/>
  <c r="E49" i="2"/>
  <c r="F48" i="2"/>
  <c r="F49" i="2" s="1"/>
  <c r="I45" i="2" l="1"/>
  <c r="G48" i="2"/>
  <c r="G46" i="2" s="1"/>
  <c r="I44" i="2"/>
  <c r="H56" i="2"/>
  <c r="H60" i="2" s="1"/>
  <c r="H61" i="2" s="1"/>
  <c r="H62" i="2" s="1"/>
  <c r="F24" i="2" s="1"/>
  <c r="F56" i="2"/>
  <c r="G56" i="2"/>
  <c r="I56" i="2"/>
  <c r="F51" i="2"/>
  <c r="J44" i="2"/>
  <c r="E60" i="2"/>
  <c r="I51" i="2" l="1"/>
  <c r="I60" i="2" s="1"/>
  <c r="I61" i="2" s="1"/>
  <c r="I62" i="2" s="1"/>
  <c r="I64" i="2" s="1"/>
  <c r="F60" i="2"/>
  <c r="F61" i="2" s="1"/>
  <c r="F62" i="2" s="1"/>
  <c r="G52" i="2"/>
  <c r="G51" i="2"/>
  <c r="I48" i="2"/>
  <c r="I49" i="2" s="1"/>
  <c r="J45" i="2"/>
  <c r="J48" i="2" s="1"/>
  <c r="E61" i="2"/>
  <c r="E62" i="2" s="1"/>
  <c r="D24" i="2" s="1"/>
  <c r="G60" i="2" l="1"/>
  <c r="G61" i="2" s="1"/>
  <c r="G62" i="2" s="1"/>
  <c r="I65" i="2"/>
  <c r="F27" i="2" s="1"/>
  <c r="F25" i="2"/>
  <c r="F64" i="2"/>
  <c r="G66" i="2"/>
  <c r="D28" i="2" s="1"/>
  <c r="J46" i="2"/>
  <c r="J51" i="2" s="1"/>
  <c r="F65" i="2" l="1"/>
  <c r="D27" i="2" s="1"/>
  <c r="D25" i="2"/>
  <c r="J56" i="2"/>
  <c r="J52" i="2"/>
  <c r="J60" i="2" l="1"/>
  <c r="J61" i="2" s="1"/>
  <c r="J62" i="2" s="1"/>
  <c r="J66" i="2" s="1"/>
  <c r="F28" i="2" s="1"/>
</calcChain>
</file>

<file path=xl/sharedStrings.xml><?xml version="1.0" encoding="utf-8"?>
<sst xmlns="http://schemas.openxmlformats.org/spreadsheetml/2006/main" count="133" uniqueCount="76">
  <si>
    <t>Vermindering energiebelasting</t>
  </si>
  <si>
    <t>Totaal ex BTW</t>
  </si>
  <si>
    <t>Netbeheerkosten</t>
  </si>
  <si>
    <t>Direct verbruik (kWh)</t>
  </si>
  <si>
    <t>Direct verbruik (%)</t>
  </si>
  <si>
    <t>Vaste kosten (per maand)</t>
  </si>
  <si>
    <t>Energiebelasting per kWh</t>
  </si>
  <si>
    <t>BTW 21%</t>
  </si>
  <si>
    <t>Totaal verbruik (kWh)</t>
  </si>
  <si>
    <t>Terugleveren (kWh)</t>
  </si>
  <si>
    <t>Totaal incl. BTW</t>
  </si>
  <si>
    <t>Extra besparing met batterij</t>
  </si>
  <si>
    <t>2025/2026</t>
  </si>
  <si>
    <t>2027 e.v.</t>
  </si>
  <si>
    <t>Salderen</t>
  </si>
  <si>
    <t>ja</t>
  </si>
  <si>
    <t>nee</t>
  </si>
  <si>
    <t>Thuisbatterij</t>
  </si>
  <si>
    <t>Nee</t>
  </si>
  <si>
    <t>Ja</t>
  </si>
  <si>
    <t>Vast leveringstarief (ct / kWh)</t>
  </si>
  <si>
    <t>Vast terugleveringstarief (ct / kWh)</t>
  </si>
  <si>
    <t>Dyn leveringstarief gem (ct / kWh)</t>
  </si>
  <si>
    <t>Dyn terugleveringstarief gem (ct / kWh)</t>
  </si>
  <si>
    <t>Dyn inkoopvergoeding (ct / kWh)</t>
  </si>
  <si>
    <t>Vast levertarief</t>
  </si>
  <si>
    <t>Dynamisch levertarief</t>
  </si>
  <si>
    <t>Scenario</t>
  </si>
  <si>
    <t>Investering zonnepanelen</t>
  </si>
  <si>
    <t>Opbrengst zonnepanelen (kWh)</t>
  </si>
  <si>
    <t>Besparing met zonnepanelen</t>
  </si>
  <si>
    <t>Terugverdientijd zonnepanelen (jaren)</t>
  </si>
  <si>
    <t>Investering zonnepanelen (€)</t>
  </si>
  <si>
    <t>Verhoogd direct gebruik (%)</t>
  </si>
  <si>
    <t>Totaal verbruik (kWh / jaar)</t>
  </si>
  <si>
    <t>Opbrengst zonnepanelen (kWh / jaar)</t>
  </si>
  <si>
    <t>Terugleveren (kWh / jaar)</t>
  </si>
  <si>
    <t>Vaste kosten (€ per maand)</t>
  </si>
  <si>
    <t>Dynamisch terugleveringstarief (ct / kWh)</t>
  </si>
  <si>
    <t>Dynamisch leveringstarief (ct / kWh)</t>
  </si>
  <si>
    <t>Dynamisch inkoopkosten (€ / kWh)</t>
  </si>
  <si>
    <t>Dynamisch vaste kosten (€ / maand)</t>
  </si>
  <si>
    <t>Berekenscenario</t>
  </si>
  <si>
    <t>Modelcenario</t>
  </si>
  <si>
    <t>Omschrijving</t>
  </si>
  <si>
    <t>Huidig contract</t>
  </si>
  <si>
    <t>Nieuw contract</t>
  </si>
  <si>
    <t>Kleiner huis</t>
  </si>
  <si>
    <t>Hoger eigen verbruik</t>
  </si>
  <si>
    <t>IZ</t>
  </si>
  <si>
    <t>TV</t>
  </si>
  <si>
    <t>OZ</t>
  </si>
  <si>
    <t>TL</t>
  </si>
  <si>
    <t>VD</t>
  </si>
  <si>
    <t>VL</t>
  </si>
  <si>
    <t>VT</t>
  </si>
  <si>
    <t>VK</t>
  </si>
  <si>
    <t>DL</t>
  </si>
  <si>
    <t>DT</t>
  </si>
  <si>
    <t>DI</t>
  </si>
  <si>
    <t>DV</t>
  </si>
  <si>
    <t>Dyn vaste kosten (per maand)</t>
  </si>
  <si>
    <t>Totale kosten zonder zonnepanelen (incl. BTW / jaar)</t>
  </si>
  <si>
    <t>Terugverdientijd zonnepanelen</t>
  </si>
  <si>
    <t>Vast levertarief zonder saldering</t>
  </si>
  <si>
    <t>Dynamisch levertarief zonder saldering</t>
  </si>
  <si>
    <t>Vast levertarief met saldering</t>
  </si>
  <si>
    <t>Invoer</t>
  </si>
  <si>
    <t>Resultaten</t>
  </si>
  <si>
    <t>Berekening</t>
  </si>
  <si>
    <t>Je kunt alle geel gearceerde velden aanpasen</t>
  </si>
  <si>
    <t>Vul hier getal tussen 1 en 4 in</t>
  </si>
  <si>
    <t>Let op! Alle bedragen excl. BTW invoeren</t>
  </si>
  <si>
    <t>Opmerkingen</t>
  </si>
  <si>
    <t>Direct verbruik</t>
  </si>
  <si>
    <t>Extra besparing met verhoogd direct gebruik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</si>
</sst>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€&quot;\ * #,##0.00_);_(&quot;€&quot;\ * \(#,##0.00\);_(&quot;€&quot;\ * &quot;-&quot;??_);_(@_)"/>
    <numFmt numFmtId="164" formatCode="_(&quot;€&quot;\ * #,##0.000_);_(&quot;€&quot;\ * \(#,##0.000\);_(&quot;€&quot;\ * &quot;-&quot;??_);_(@_)"/>
    <numFmt numFmtId="165" formatCode="0.0"/>
    <numFmt numFmtId="166" formatCode="_(&quot;€&quot;\ * #,##0_);_(&quot;€&quot;\ * \(#,##0\);_(&quot;€&quot;\ * &quot;-&quot;??_);_(@_)"/>
    <numFmt numFmtId="167" formatCode="_ [$€-413]\ * #,##0.00_ ;_ [$€-413]\ * \-#,##0.00_ ;_ [$€-413]\ * &quot;-&quot;??_ ;_ @_ "/>
    <numFmt numFmtId="168" formatCode="_ [$€-413]\ * #,##0_ ;_ [$€-413]\ * \-#,##0_ ;_ [$€-413]\ * &quot;-&quot;??_ ;_ @_ "/>
  </numFmts>
  <fonts count="6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sz val="12"/>
      <color theme="1"/>
      <name val="Aptos Narrow"/>
      <scheme val="minor"/>
    </font>
    <font>
      <b/>
      <sz val="14"/>
      <color theme="1"/>
      <name val="Aptos Narrow"/>
      <scheme val="minor"/>
    </font>
    <font>
      <b/>
      <sz val="16"/>
      <color theme="1"/>
      <name val="Aptos Narrow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7">
    <xf numFmtId="0" fontId="0" fillId="0" borderId="0" xfId="0"/>
    <xf numFmtId="44" fontId="0" fillId="0" borderId="0" xfId="2" applyFont="1"/>
    <xf numFmtId="0" fontId="0" fillId="0" borderId="1" xfId="0" applyBorder="1"/>
    <xf numFmtId="2" fontId="0" fillId="0" borderId="0" xfId="0" applyNumberFormat="1"/>
    <xf numFmtId="0" fontId="2" fillId="3" borderId="3" xfId="0" applyFont="1" applyFill="1" applyBorder="1"/>
    <xf numFmtId="0" fontId="2" fillId="3" borderId="6" xfId="0" applyFont="1" applyFill="1" applyBorder="1"/>
    <xf numFmtId="2" fontId="2" fillId="3" borderId="6" xfId="0" applyNumberFormat="1" applyFont="1" applyFill="1" applyBorder="1"/>
    <xf numFmtId="0" fontId="2" fillId="3" borderId="8" xfId="0" applyFont="1" applyFill="1" applyBorder="1"/>
    <xf numFmtId="0" fontId="2" fillId="3" borderId="11" xfId="0" applyFont="1" applyFill="1" applyBorder="1"/>
    <xf numFmtId="0" fontId="2" fillId="3" borderId="12" xfId="0" applyFont="1" applyFill="1" applyBorder="1"/>
    <xf numFmtId="0" fontId="2" fillId="3" borderId="13" xfId="0" applyFont="1" applyFill="1" applyBorder="1"/>
    <xf numFmtId="2" fontId="2" fillId="3" borderId="12" xfId="0" applyNumberFormat="1" applyFont="1" applyFill="1" applyBorder="1"/>
    <xf numFmtId="0" fontId="2" fillId="3" borderId="14" xfId="0" applyFont="1" applyFill="1" applyBorder="1"/>
    <xf numFmtId="44" fontId="0" fillId="6" borderId="4" xfId="2" applyFont="1" applyFill="1" applyBorder="1"/>
    <xf numFmtId="0" fontId="0" fillId="6" borderId="7" xfId="0" applyFill="1" applyBorder="1"/>
    <xf numFmtId="9" fontId="0" fillId="6" borderId="0" xfId="1" applyFont="1" applyFill="1" applyBorder="1"/>
    <xf numFmtId="44" fontId="0" fillId="6" borderId="0" xfId="2" applyFont="1" applyFill="1" applyBorder="1"/>
    <xf numFmtId="44" fontId="0" fillId="6" borderId="7" xfId="2" applyFont="1" applyFill="1" applyBorder="1"/>
    <xf numFmtId="0" fontId="2" fillId="3" borderId="0" xfId="0" applyFont="1" applyFill="1"/>
    <xf numFmtId="0" fontId="2" fillId="0" borderId="0" xfId="0" applyFont="1"/>
    <xf numFmtId="44" fontId="2" fillId="0" borderId="0" xfId="0" applyNumberFormat="1" applyFont="1"/>
    <xf numFmtId="0" fontId="0" fillId="2" borderId="19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2" applyNumberFormat="1" applyFont="1"/>
    <xf numFmtId="9" fontId="0" fillId="2" borderId="19" xfId="1" applyFont="1" applyFill="1" applyBorder="1"/>
    <xf numFmtId="44" fontId="0" fillId="2" borderId="19" xfId="2" applyFont="1" applyFill="1" applyBorder="1"/>
    <xf numFmtId="0" fontId="0" fillId="6" borderId="3" xfId="0" applyFill="1" applyBorder="1"/>
    <xf numFmtId="44" fontId="2" fillId="6" borderId="4" xfId="2" applyFont="1" applyFill="1" applyBorder="1"/>
    <xf numFmtId="0" fontId="0" fillId="6" borderId="5" xfId="0" applyFill="1" applyBorder="1"/>
    <xf numFmtId="0" fontId="3" fillId="6" borderId="6" xfId="0" applyFont="1" applyFill="1" applyBorder="1"/>
    <xf numFmtId="166" fontId="0" fillId="6" borderId="0" xfId="2" applyNumberFormat="1" applyFont="1" applyFill="1" applyBorder="1"/>
    <xf numFmtId="0" fontId="2" fillId="6" borderId="6" xfId="0" applyFont="1" applyFill="1" applyBorder="1"/>
    <xf numFmtId="0" fontId="0" fillId="6" borderId="6" xfId="0" applyFill="1" applyBorder="1"/>
    <xf numFmtId="44" fontId="2" fillId="6" borderId="0" xfId="2" applyFont="1" applyFill="1" applyBorder="1"/>
    <xf numFmtId="0" fontId="3" fillId="6" borderId="8" xfId="0" applyFont="1" applyFill="1" applyBorder="1"/>
    <xf numFmtId="44" fontId="0" fillId="6" borderId="9" xfId="2" applyFont="1" applyFill="1" applyBorder="1"/>
    <xf numFmtId="0" fontId="0" fillId="6" borderId="10" xfId="0" applyFill="1" applyBorder="1"/>
    <xf numFmtId="0" fontId="2" fillId="6" borderId="3" xfId="0" applyFont="1" applyFill="1" applyBorder="1" applyAlignment="1">
      <alignment horizontal="left"/>
    </xf>
    <xf numFmtId="166" fontId="0" fillId="6" borderId="6" xfId="2" applyNumberFormat="1" applyFont="1" applyFill="1" applyBorder="1"/>
    <xf numFmtId="1" fontId="0" fillId="6" borderId="6" xfId="2" applyNumberFormat="1" applyFont="1" applyFill="1" applyBorder="1"/>
    <xf numFmtId="0" fontId="2" fillId="6" borderId="6" xfId="0" applyFont="1" applyFill="1" applyBorder="1" applyAlignment="1">
      <alignment horizontal="left"/>
    </xf>
    <xf numFmtId="167" fontId="0" fillId="6" borderId="7" xfId="2" applyNumberFormat="1" applyFont="1" applyFill="1" applyBorder="1"/>
    <xf numFmtId="44" fontId="0" fillId="6" borderId="10" xfId="2" applyFont="1" applyFill="1" applyBorder="1"/>
    <xf numFmtId="1" fontId="0" fillId="0" borderId="0" xfId="2" applyNumberFormat="1" applyFont="1" applyFill="1"/>
    <xf numFmtId="44" fontId="0" fillId="0" borderId="0" xfId="2" applyFont="1" applyFill="1"/>
    <xf numFmtId="0" fontId="4" fillId="3" borderId="2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0" fillId="3" borderId="4" xfId="0" applyFill="1" applyBorder="1"/>
    <xf numFmtId="0" fontId="0" fillId="3" borderId="21" xfId="0" applyFill="1" applyBorder="1"/>
    <xf numFmtId="44" fontId="0" fillId="3" borderId="4" xfId="2" applyFont="1" applyFill="1" applyBorder="1"/>
    <xf numFmtId="44" fontId="0" fillId="3" borderId="21" xfId="2" applyFont="1" applyFill="1" applyBorder="1"/>
    <xf numFmtId="44" fontId="0" fillId="3" borderId="5" xfId="2" applyFont="1" applyFill="1" applyBorder="1"/>
    <xf numFmtId="0" fontId="0" fillId="3" borderId="0" xfId="0" applyFill="1"/>
    <xf numFmtId="0" fontId="0" fillId="3" borderId="22" xfId="0" applyFill="1" applyBorder="1"/>
    <xf numFmtId="0" fontId="0" fillId="3" borderId="7" xfId="0" applyFill="1" applyBorder="1"/>
    <xf numFmtId="1" fontId="0" fillId="3" borderId="22" xfId="2" applyNumberFormat="1" applyFont="1" applyFill="1" applyBorder="1"/>
    <xf numFmtId="0" fontId="0" fillId="3" borderId="19" xfId="0" applyFill="1" applyBorder="1"/>
    <xf numFmtId="0" fontId="0" fillId="3" borderId="24" xfId="0" applyFill="1" applyBorder="1"/>
    <xf numFmtId="9" fontId="0" fillId="3" borderId="22" xfId="1" applyFont="1" applyFill="1" applyBorder="1"/>
    <xf numFmtId="9" fontId="0" fillId="3" borderId="0" xfId="1" applyFont="1" applyFill="1" applyBorder="1"/>
    <xf numFmtId="9" fontId="0" fillId="3" borderId="7" xfId="1" applyFont="1" applyFill="1" applyBorder="1"/>
    <xf numFmtId="44" fontId="0" fillId="3" borderId="25" xfId="2" applyFont="1" applyFill="1" applyBorder="1"/>
    <xf numFmtId="44" fontId="0" fillId="3" borderId="24" xfId="2" applyFont="1" applyFill="1" applyBorder="1"/>
    <xf numFmtId="44" fontId="0" fillId="3" borderId="0" xfId="2" applyFont="1" applyFill="1" applyBorder="1"/>
    <xf numFmtId="44" fontId="0" fillId="3" borderId="22" xfId="2" applyFont="1" applyFill="1" applyBorder="1"/>
    <xf numFmtId="44" fontId="0" fillId="3" borderId="7" xfId="2" applyFont="1" applyFill="1" applyBorder="1"/>
    <xf numFmtId="44" fontId="0" fillId="3" borderId="19" xfId="2" applyFont="1" applyFill="1" applyBorder="1"/>
    <xf numFmtId="164" fontId="0" fillId="3" borderId="0" xfId="2" applyNumberFormat="1" applyFont="1" applyFill="1" applyBorder="1"/>
    <xf numFmtId="44" fontId="2" fillId="3" borderId="21" xfId="0" applyNumberFormat="1" applyFont="1" applyFill="1" applyBorder="1"/>
    <xf numFmtId="44" fontId="2" fillId="3" borderId="4" xfId="0" applyNumberFormat="1" applyFont="1" applyFill="1" applyBorder="1"/>
    <xf numFmtId="44" fontId="2" fillId="3" borderId="5" xfId="0" applyNumberFormat="1" applyFont="1" applyFill="1" applyBorder="1"/>
    <xf numFmtId="0" fontId="2" fillId="3" borderId="22" xfId="0" applyFont="1" applyFill="1" applyBorder="1"/>
    <xf numFmtId="0" fontId="2" fillId="3" borderId="7" xfId="0" applyFont="1" applyFill="1" applyBorder="1"/>
    <xf numFmtId="44" fontId="2" fillId="3" borderId="0" xfId="0" applyNumberFormat="1" applyFont="1" applyFill="1"/>
    <xf numFmtId="44" fontId="2" fillId="3" borderId="22" xfId="0" applyNumberFormat="1" applyFont="1" applyFill="1" applyBorder="1"/>
    <xf numFmtId="2" fontId="2" fillId="3" borderId="22" xfId="0" applyNumberFormat="1" applyFont="1" applyFill="1" applyBorder="1"/>
    <xf numFmtId="165" fontId="2" fillId="3" borderId="0" xfId="0" applyNumberFormat="1" applyFont="1" applyFill="1"/>
    <xf numFmtId="2" fontId="2" fillId="3" borderId="0" xfId="0" applyNumberFormat="1" applyFont="1" applyFill="1"/>
    <xf numFmtId="165" fontId="2" fillId="3" borderId="22" xfId="0" applyNumberFormat="1" applyFont="1" applyFill="1" applyBorder="1"/>
    <xf numFmtId="2" fontId="2" fillId="3" borderId="7" xfId="0" applyNumberFormat="1" applyFont="1" applyFill="1" applyBorder="1"/>
    <xf numFmtId="0" fontId="2" fillId="3" borderId="23" xfId="0" applyFont="1" applyFill="1" applyBorder="1"/>
    <xf numFmtId="0" fontId="2" fillId="3" borderId="9" xfId="0" applyFont="1" applyFill="1" applyBorder="1"/>
    <xf numFmtId="44" fontId="2" fillId="3" borderId="23" xfId="0" applyNumberFormat="1" applyFont="1" applyFill="1" applyBorder="1"/>
    <xf numFmtId="44" fontId="2" fillId="3" borderId="10" xfId="0" applyNumberFormat="1" applyFont="1" applyFill="1" applyBorder="1"/>
    <xf numFmtId="0" fontId="0" fillId="5" borderId="15" xfId="0" applyFill="1" applyBorder="1"/>
    <xf numFmtId="0" fontId="0" fillId="5" borderId="16" xfId="0" applyFill="1" applyBorder="1"/>
    <xf numFmtId="0" fontId="0" fillId="5" borderId="17" xfId="0" applyFill="1" applyBorder="1"/>
    <xf numFmtId="0" fontId="2" fillId="5" borderId="6" xfId="0" applyFont="1" applyFill="1" applyBorder="1" applyAlignment="1">
      <alignment horizontal="left"/>
    </xf>
    <xf numFmtId="0" fontId="3" fillId="5" borderId="6" xfId="0" applyFont="1" applyFill="1" applyBorder="1"/>
    <xf numFmtId="0" fontId="3" fillId="5" borderId="8" xfId="0" applyFont="1" applyFill="1" applyBorder="1"/>
    <xf numFmtId="0" fontId="4" fillId="5" borderId="15" xfId="0" applyFont="1" applyFill="1" applyBorder="1" applyAlignment="1">
      <alignment horizontal="center"/>
    </xf>
    <xf numFmtId="0" fontId="0" fillId="2" borderId="3" xfId="0" applyFill="1" applyBorder="1"/>
    <xf numFmtId="0" fontId="0" fillId="2" borderId="18" xfId="0" applyFill="1" applyBorder="1"/>
    <xf numFmtId="0" fontId="0" fillId="2" borderId="26" xfId="0" applyFill="1" applyBorder="1"/>
    <xf numFmtId="166" fontId="0" fillId="2" borderId="6" xfId="2" applyNumberFormat="1" applyFont="1" applyFill="1" applyBorder="1"/>
    <xf numFmtId="166" fontId="0" fillId="2" borderId="19" xfId="2" applyNumberFormat="1" applyFont="1" applyFill="1" applyBorder="1"/>
    <xf numFmtId="166" fontId="0" fillId="2" borderId="27" xfId="2" applyNumberFormat="1" applyFont="1" applyFill="1" applyBorder="1"/>
    <xf numFmtId="0" fontId="0" fillId="2" borderId="6" xfId="0" applyFill="1" applyBorder="1"/>
    <xf numFmtId="0" fontId="0" fillId="2" borderId="27" xfId="0" applyFill="1" applyBorder="1"/>
    <xf numFmtId="9" fontId="0" fillId="2" borderId="6" xfId="1" applyFont="1" applyFill="1" applyBorder="1"/>
    <xf numFmtId="9" fontId="0" fillId="2" borderId="27" xfId="1" applyFont="1" applyFill="1" applyBorder="1"/>
    <xf numFmtId="44" fontId="0" fillId="2" borderId="6" xfId="2" applyFont="1" applyFill="1" applyBorder="1"/>
    <xf numFmtId="44" fontId="0" fillId="2" borderId="27" xfId="2" applyFont="1" applyFill="1" applyBorder="1"/>
    <xf numFmtId="164" fontId="0" fillId="2" borderId="6" xfId="2" applyNumberFormat="1" applyFont="1" applyFill="1" applyBorder="1"/>
    <xf numFmtId="164" fontId="0" fillId="2" borderId="19" xfId="2" applyNumberFormat="1" applyFont="1" applyFill="1" applyBorder="1"/>
    <xf numFmtId="164" fontId="0" fillId="2" borderId="27" xfId="2" applyNumberFormat="1" applyFont="1" applyFill="1" applyBorder="1"/>
    <xf numFmtId="44" fontId="0" fillId="2" borderId="8" xfId="2" applyFont="1" applyFill="1" applyBorder="1"/>
    <xf numFmtId="44" fontId="0" fillId="2" borderId="20" xfId="2" applyFont="1" applyFill="1" applyBorder="1"/>
    <xf numFmtId="44" fontId="0" fillId="2" borderId="28" xfId="2" applyFont="1" applyFill="1" applyBorder="1"/>
    <xf numFmtId="0" fontId="5" fillId="5" borderId="16" xfId="0" applyFont="1" applyFill="1" applyBorder="1"/>
    <xf numFmtId="0" fontId="2" fillId="4" borderId="15" xfId="0" applyFont="1" applyFill="1" applyBorder="1"/>
    <xf numFmtId="1" fontId="2" fillId="2" borderId="2" xfId="2" applyNumberFormat="1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165" fontId="0" fillId="6" borderId="6" xfId="2" applyNumberFormat="1" applyFont="1" applyFill="1" applyBorder="1" applyAlignment="1">
      <alignment horizontal="center"/>
    </xf>
    <xf numFmtId="165" fontId="0" fillId="6" borderId="0" xfId="2" applyNumberFormat="1" applyFont="1" applyFill="1" applyBorder="1" applyAlignment="1">
      <alignment horizontal="center"/>
    </xf>
    <xf numFmtId="168" fontId="0" fillId="6" borderId="6" xfId="2" applyNumberFormat="1" applyFont="1" applyFill="1" applyBorder="1"/>
    <xf numFmtId="166" fontId="0" fillId="6" borderId="8" xfId="2" applyNumberFormat="1" applyFont="1" applyFill="1" applyBorder="1"/>
    <xf numFmtId="168" fontId="0" fillId="6" borderId="0" xfId="2" applyNumberFormat="1" applyFont="1" applyFill="1" applyBorder="1"/>
    <xf numFmtId="166" fontId="0" fillId="6" borderId="9" xfId="2" applyNumberFormat="1" applyFont="1" applyFill="1" applyBorder="1"/>
    <xf numFmtId="9" fontId="0" fillId="6" borderId="6" xfId="1" applyFont="1" applyFill="1" applyBorder="1"/>
    <xf numFmtId="0" fontId="4" fillId="3" borderId="15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44" fontId="5" fillId="3" borderId="15" xfId="2" applyFont="1" applyFill="1" applyBorder="1" applyAlignment="1">
      <alignment horizontal="center"/>
    </xf>
    <xf numFmtId="44" fontId="5" fillId="3" borderId="16" xfId="2" applyFont="1" applyFill="1" applyBorder="1" applyAlignment="1">
      <alignment horizontal="center"/>
    </xf>
    <xf numFmtId="44" fontId="5" fillId="3" borderId="17" xfId="2" applyFont="1" applyFill="1" applyBorder="1" applyAlignment="1">
      <alignment horizontal="center"/>
    </xf>
    <xf numFmtId="44" fontId="5" fillId="6" borderId="15" xfId="2" applyFont="1" applyFill="1" applyBorder="1" applyAlignment="1">
      <alignment horizontal="center"/>
    </xf>
    <xf numFmtId="44" fontId="5" fillId="6" borderId="16" xfId="2" applyFont="1" applyFill="1" applyBorder="1" applyAlignment="1">
      <alignment horizontal="center"/>
    </xf>
    <xf numFmtId="44" fontId="5" fillId="6" borderId="17" xfId="2" applyFont="1" applyFill="1" applyBorder="1" applyAlignment="1">
      <alignment horizontal="center"/>
    </xf>
    <xf numFmtId="0" fontId="2" fillId="2" borderId="0" xfId="0" applyFont="1" applyFill="1"/>
    <xf numFmtId="0" fontId="0" fillId="2" borderId="0" xfId="0" applyFill="1"/>
  </cellXfs>
  <cellStyles count="3">
    <cellStyle name="Procent" xfId="1" builtinId="5"/>
    <cellStyle name="Standaard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FCF19-26FB-2F45-9D2F-511BEB6BC8B7}">
  <dimension ref="B1:P96"/>
  <sheetViews>
    <sheetView tabSelected="1" zoomScale="106" workbookViewId="0">
      <selection activeCell="J9" sqref="J9"/>
    </sheetView>
  </sheetViews>
  <sheetFormatPr baseColWidth="10" defaultRowHeight="16" x14ac:dyDescent="0.2"/>
  <cols>
    <col min="2" max="2" width="6" customWidth="1"/>
    <col min="3" max="3" width="46.5" customWidth="1"/>
    <col min="4" max="4" width="13.83203125" customWidth="1"/>
    <col min="5" max="5" width="19.83203125" customWidth="1"/>
    <col min="6" max="6" width="16.6640625" customWidth="1"/>
    <col min="7" max="7" width="15.6640625" customWidth="1"/>
    <col min="8" max="8" width="14.5" customWidth="1"/>
    <col min="9" max="10" width="11" bestFit="1" customWidth="1"/>
    <col min="16" max="16" width="13.83203125" style="22" customWidth="1"/>
  </cols>
  <sheetData>
    <row r="1" spans="2:11" ht="17" thickBot="1" x14ac:dyDescent="0.25"/>
    <row r="2" spans="2:11" ht="23" thickBot="1" x14ac:dyDescent="0.35">
      <c r="C2" s="88"/>
      <c r="D2" s="113" t="s">
        <v>67</v>
      </c>
      <c r="E2" s="89"/>
      <c r="F2" s="89"/>
      <c r="G2" s="90"/>
    </row>
    <row r="3" spans="2:11" ht="17" thickBot="1" x14ac:dyDescent="0.25"/>
    <row r="4" spans="2:11" ht="20" thickBot="1" x14ac:dyDescent="0.3">
      <c r="C4" s="94" t="s">
        <v>42</v>
      </c>
      <c r="D4" s="116">
        <v>1</v>
      </c>
      <c r="E4" s="117">
        <v>2</v>
      </c>
      <c r="F4" s="117">
        <v>3</v>
      </c>
      <c r="G4" s="118">
        <v>4</v>
      </c>
      <c r="I4" s="135" t="s">
        <v>73</v>
      </c>
      <c r="J4" s="136"/>
      <c r="K4" s="136"/>
    </row>
    <row r="5" spans="2:11" x14ac:dyDescent="0.2">
      <c r="C5" s="91" t="s">
        <v>44</v>
      </c>
      <c r="D5" s="95" t="s">
        <v>45</v>
      </c>
      <c r="E5" s="96" t="s">
        <v>46</v>
      </c>
      <c r="F5" s="96" t="s">
        <v>48</v>
      </c>
      <c r="G5" s="97" t="s">
        <v>47</v>
      </c>
      <c r="I5" s="136" t="s">
        <v>70</v>
      </c>
      <c r="J5" s="136"/>
      <c r="K5" s="136"/>
    </row>
    <row r="6" spans="2:11" x14ac:dyDescent="0.2">
      <c r="B6" t="s">
        <v>49</v>
      </c>
      <c r="C6" s="92" t="s">
        <v>32</v>
      </c>
      <c r="D6" s="98">
        <f>8500/0.9*0.8</f>
        <v>7555.5555555555547</v>
      </c>
      <c r="E6" s="99">
        <v>7556</v>
      </c>
      <c r="F6" s="99">
        <v>7556</v>
      </c>
      <c r="G6" s="100">
        <f>5000/0.9*0.8</f>
        <v>4444.4444444444443</v>
      </c>
      <c r="I6" s="136" t="s">
        <v>72</v>
      </c>
      <c r="J6" s="136"/>
      <c r="K6" s="136"/>
    </row>
    <row r="7" spans="2:11" x14ac:dyDescent="0.2">
      <c r="B7" t="s">
        <v>50</v>
      </c>
      <c r="C7" s="92" t="s">
        <v>34</v>
      </c>
      <c r="D7" s="101">
        <v>10359</v>
      </c>
      <c r="E7" s="21">
        <v>10359</v>
      </c>
      <c r="F7" s="21">
        <v>10359</v>
      </c>
      <c r="G7" s="102">
        <v>6779</v>
      </c>
    </row>
    <row r="8" spans="2:11" x14ac:dyDescent="0.2">
      <c r="B8" t="s">
        <v>51</v>
      </c>
      <c r="C8" s="92" t="s">
        <v>35</v>
      </c>
      <c r="D8" s="101">
        <v>8350</v>
      </c>
      <c r="E8" s="21">
        <v>8350</v>
      </c>
      <c r="F8" s="21">
        <v>8350</v>
      </c>
      <c r="G8" s="102">
        <v>5031</v>
      </c>
    </row>
    <row r="9" spans="2:11" x14ac:dyDescent="0.2">
      <c r="B9" t="s">
        <v>52</v>
      </c>
      <c r="C9" s="92" t="s">
        <v>36</v>
      </c>
      <c r="D9" s="101">
        <v>5088</v>
      </c>
      <c r="E9" s="21">
        <v>5088</v>
      </c>
      <c r="F9" s="21">
        <v>5088</v>
      </c>
      <c r="G9" s="102">
        <v>3932</v>
      </c>
    </row>
    <row r="10" spans="2:11" x14ac:dyDescent="0.2">
      <c r="B10" t="s">
        <v>53</v>
      </c>
      <c r="C10" s="92" t="s">
        <v>33</v>
      </c>
      <c r="D10" s="103">
        <v>0.7</v>
      </c>
      <c r="E10" s="26">
        <v>0.7</v>
      </c>
      <c r="F10" s="26">
        <v>1</v>
      </c>
      <c r="G10" s="104">
        <v>0.7</v>
      </c>
    </row>
    <row r="11" spans="2:11" x14ac:dyDescent="0.2">
      <c r="B11" t="s">
        <v>54</v>
      </c>
      <c r="C11" s="92" t="s">
        <v>20</v>
      </c>
      <c r="D11" s="105">
        <v>0.13700000000000001</v>
      </c>
      <c r="E11" s="27">
        <v>0.1246</v>
      </c>
      <c r="F11" s="27">
        <v>0.1246</v>
      </c>
      <c r="G11" s="106">
        <v>0.1246</v>
      </c>
    </row>
    <row r="12" spans="2:11" x14ac:dyDescent="0.2">
      <c r="B12" t="s">
        <v>55</v>
      </c>
      <c r="C12" s="92" t="s">
        <v>21</v>
      </c>
      <c r="D12" s="105">
        <v>-0.08</v>
      </c>
      <c r="E12" s="27">
        <v>0</v>
      </c>
      <c r="F12" s="27">
        <v>0</v>
      </c>
      <c r="G12" s="106">
        <v>-0.02</v>
      </c>
    </row>
    <row r="13" spans="2:11" x14ac:dyDescent="0.2">
      <c r="B13" t="s">
        <v>56</v>
      </c>
      <c r="C13" s="92" t="s">
        <v>37</v>
      </c>
      <c r="D13" s="105">
        <f>5.99/1.21</f>
        <v>4.9504132231404965</v>
      </c>
      <c r="E13" s="27">
        <f t="shared" ref="E13:G13" si="0">8.99/1.21</f>
        <v>7.4297520661157028</v>
      </c>
      <c r="F13" s="27">
        <f t="shared" si="0"/>
        <v>7.4297520661157028</v>
      </c>
      <c r="G13" s="106">
        <f t="shared" si="0"/>
        <v>7.4297520661157028</v>
      </c>
    </row>
    <row r="14" spans="2:11" x14ac:dyDescent="0.2">
      <c r="B14" t="s">
        <v>57</v>
      </c>
      <c r="C14" s="92" t="s">
        <v>39</v>
      </c>
      <c r="D14" s="105">
        <v>0.1246</v>
      </c>
      <c r="E14" s="27">
        <v>0.1246</v>
      </c>
      <c r="F14" s="27">
        <v>0.1246</v>
      </c>
      <c r="G14" s="106">
        <v>0.1246</v>
      </c>
    </row>
    <row r="15" spans="2:11" x14ac:dyDescent="0.2">
      <c r="B15" t="s">
        <v>58</v>
      </c>
      <c r="C15" s="92" t="s">
        <v>38</v>
      </c>
      <c r="D15" s="105">
        <v>-0.04</v>
      </c>
      <c r="E15" s="27">
        <v>-0.04</v>
      </c>
      <c r="F15" s="27">
        <v>-0.04</v>
      </c>
      <c r="G15" s="106">
        <v>-0.04</v>
      </c>
    </row>
    <row r="16" spans="2:11" x14ac:dyDescent="0.2">
      <c r="B16" t="s">
        <v>59</v>
      </c>
      <c r="C16" s="92" t="s">
        <v>40</v>
      </c>
      <c r="D16" s="107">
        <v>3.5000000000000003E-2</v>
      </c>
      <c r="E16" s="108">
        <v>3.5000000000000003E-2</v>
      </c>
      <c r="F16" s="108">
        <v>3.5000000000000003E-2</v>
      </c>
      <c r="G16" s="109">
        <v>3.5000000000000003E-2</v>
      </c>
    </row>
    <row r="17" spans="2:8" ht="17" thickBot="1" x14ac:dyDescent="0.25">
      <c r="B17" t="s">
        <v>60</v>
      </c>
      <c r="C17" s="93" t="s">
        <v>41</v>
      </c>
      <c r="D17" s="110">
        <f>8.99/1.21</f>
        <v>7.4297520661157028</v>
      </c>
      <c r="E17" s="111">
        <f t="shared" ref="E17:G17" si="1">8.99/1.21</f>
        <v>7.4297520661157028</v>
      </c>
      <c r="F17" s="111">
        <f t="shared" si="1"/>
        <v>7.4297520661157028</v>
      </c>
      <c r="G17" s="112">
        <f t="shared" si="1"/>
        <v>7.4297520661157028</v>
      </c>
    </row>
    <row r="18" spans="2:8" ht="17" thickBot="1" x14ac:dyDescent="0.25">
      <c r="D18" s="1"/>
      <c r="E18" s="1"/>
      <c r="F18" s="1"/>
      <c r="G18" s="1"/>
    </row>
    <row r="19" spans="2:8" ht="17" thickBot="1" x14ac:dyDescent="0.25">
      <c r="C19" s="114" t="s">
        <v>42</v>
      </c>
      <c r="D19" s="115">
        <v>1</v>
      </c>
      <c r="E19" s="1" t="s">
        <v>71</v>
      </c>
      <c r="F19" s="1"/>
      <c r="G19" s="1"/>
    </row>
    <row r="20" spans="2:8" ht="17" thickBot="1" x14ac:dyDescent="0.25">
      <c r="C20" s="19"/>
      <c r="D20" s="25"/>
      <c r="E20" s="1"/>
      <c r="F20" s="1"/>
      <c r="G20" s="1"/>
    </row>
    <row r="21" spans="2:8" ht="23" thickBot="1" x14ac:dyDescent="0.35">
      <c r="C21" s="132" t="s">
        <v>68</v>
      </c>
      <c r="D21" s="133"/>
      <c r="E21" s="133"/>
      <c r="F21" s="133"/>
      <c r="G21" s="133"/>
      <c r="H21" s="134"/>
    </row>
    <row r="22" spans="2:8" ht="17" thickBot="1" x14ac:dyDescent="0.25">
      <c r="C22" s="19"/>
      <c r="D22" s="45"/>
      <c r="E22" s="46"/>
      <c r="F22" s="46"/>
      <c r="G22" s="46"/>
    </row>
    <row r="23" spans="2:8" x14ac:dyDescent="0.2">
      <c r="C23" s="28"/>
      <c r="D23" s="39" t="s">
        <v>66</v>
      </c>
      <c r="E23" s="30"/>
      <c r="F23" s="29" t="s">
        <v>64</v>
      </c>
      <c r="G23" s="13"/>
      <c r="H23" s="30"/>
    </row>
    <row r="24" spans="2:8" x14ac:dyDescent="0.2">
      <c r="C24" s="31" t="s">
        <v>62</v>
      </c>
      <c r="D24" s="40">
        <f>E62</f>
        <v>2847.7158300000001</v>
      </c>
      <c r="E24" s="17"/>
      <c r="F24" s="32">
        <f>H62</f>
        <v>2847.7158300000001</v>
      </c>
      <c r="G24" s="16"/>
      <c r="H24" s="14"/>
    </row>
    <row r="25" spans="2:8" x14ac:dyDescent="0.2">
      <c r="C25" s="31" t="s">
        <v>30</v>
      </c>
      <c r="D25" s="40">
        <f>F64</f>
        <v>2059.4751400000005</v>
      </c>
      <c r="E25" s="17"/>
      <c r="F25" s="32">
        <f>I64</f>
        <v>1434.15994</v>
      </c>
      <c r="G25" s="16"/>
      <c r="H25" s="14"/>
    </row>
    <row r="26" spans="2:8" x14ac:dyDescent="0.2">
      <c r="C26" s="31" t="s">
        <v>74</v>
      </c>
      <c r="D26" s="125">
        <f>F49</f>
        <v>0.39065868263473053</v>
      </c>
      <c r="E26" s="17"/>
      <c r="F26" s="15">
        <f>I49</f>
        <v>0.39065868263473053</v>
      </c>
      <c r="G26" s="16"/>
      <c r="H26" s="14"/>
    </row>
    <row r="27" spans="2:8" x14ac:dyDescent="0.2">
      <c r="C27" s="31" t="s">
        <v>63</v>
      </c>
      <c r="D27" s="119">
        <f>F65</f>
        <v>3.6686801451536595</v>
      </c>
      <c r="E27" s="17"/>
      <c r="F27" s="120">
        <f>I65</f>
        <v>5.2682796003600227</v>
      </c>
      <c r="G27" s="16"/>
      <c r="H27" s="14"/>
    </row>
    <row r="28" spans="2:8" x14ac:dyDescent="0.2">
      <c r="C28" s="31" t="s">
        <v>75</v>
      </c>
      <c r="D28" s="40">
        <f>G66</f>
        <v>178.14950999999985</v>
      </c>
      <c r="E28" s="17"/>
      <c r="F28" s="32">
        <f>J66</f>
        <v>495.60021000000029</v>
      </c>
      <c r="G28" s="16"/>
      <c r="H28" s="14"/>
    </row>
    <row r="29" spans="2:8" x14ac:dyDescent="0.2">
      <c r="C29" s="33"/>
      <c r="D29" s="41"/>
      <c r="E29" s="17"/>
      <c r="F29" s="16"/>
      <c r="G29" s="16"/>
      <c r="H29" s="14"/>
    </row>
    <row r="30" spans="2:8" x14ac:dyDescent="0.2">
      <c r="C30" s="34"/>
      <c r="D30" s="42" t="s">
        <v>65</v>
      </c>
      <c r="E30" s="14"/>
      <c r="F30" s="35" t="s">
        <v>65</v>
      </c>
      <c r="G30" s="16"/>
      <c r="H30" s="14"/>
    </row>
    <row r="31" spans="2:8" x14ac:dyDescent="0.2">
      <c r="C31" s="31" t="s">
        <v>62</v>
      </c>
      <c r="D31" s="121">
        <f>E92</f>
        <v>3166.9930440000003</v>
      </c>
      <c r="E31" s="43"/>
      <c r="F31" s="123">
        <f>H92</f>
        <v>3166.9930440000003</v>
      </c>
      <c r="G31" s="16"/>
      <c r="H31" s="14"/>
    </row>
    <row r="32" spans="2:8" x14ac:dyDescent="0.2">
      <c r="C32" s="31" t="s">
        <v>30</v>
      </c>
      <c r="D32" s="121">
        <f>F94</f>
        <v>1686.9417920000001</v>
      </c>
      <c r="E32" s="43"/>
      <c r="F32" s="123">
        <f>I94</f>
        <v>1061.6265920000001</v>
      </c>
      <c r="G32" s="16"/>
      <c r="H32" s="14"/>
    </row>
    <row r="33" spans="3:10" x14ac:dyDescent="0.2">
      <c r="C33" s="31" t="s">
        <v>74</v>
      </c>
      <c r="D33" s="125">
        <f>F78</f>
        <v>0.39065868263473053</v>
      </c>
      <c r="E33" s="43"/>
      <c r="F33" s="15">
        <f>I78</f>
        <v>0.39065868263473053</v>
      </c>
      <c r="G33" s="16"/>
      <c r="H33" s="14"/>
    </row>
    <row r="34" spans="3:10" x14ac:dyDescent="0.2">
      <c r="C34" s="31" t="s">
        <v>63</v>
      </c>
      <c r="D34" s="119">
        <f>F95</f>
        <v>4.4788478128802884</v>
      </c>
      <c r="E34" s="17"/>
      <c r="F34" s="120">
        <f>I95</f>
        <v>7.1169614744875895</v>
      </c>
      <c r="G34" s="16"/>
      <c r="H34" s="14"/>
    </row>
    <row r="35" spans="3:10" ht="17" thickBot="1" x14ac:dyDescent="0.25">
      <c r="C35" s="36" t="s">
        <v>75</v>
      </c>
      <c r="D35" s="122">
        <f>G96</f>
        <v>483.1914780000003</v>
      </c>
      <c r="E35" s="44"/>
      <c r="F35" s="124">
        <f>J96</f>
        <v>800.64217800000006</v>
      </c>
      <c r="G35" s="37"/>
      <c r="H35" s="38"/>
    </row>
    <row r="36" spans="3:10" ht="17" thickBot="1" x14ac:dyDescent="0.25">
      <c r="C36" s="19"/>
      <c r="D36" s="25"/>
      <c r="E36" s="1"/>
      <c r="F36" s="1"/>
      <c r="G36" s="1"/>
    </row>
    <row r="37" spans="3:10" ht="23" thickBot="1" x14ac:dyDescent="0.35">
      <c r="C37" s="129" t="s">
        <v>69</v>
      </c>
      <c r="D37" s="130"/>
      <c r="E37" s="130"/>
      <c r="F37" s="130"/>
      <c r="G37" s="130"/>
      <c r="H37" s="130"/>
      <c r="I37" s="130"/>
      <c r="J37" s="131"/>
    </row>
    <row r="38" spans="3:10" ht="17" thickBot="1" x14ac:dyDescent="0.25"/>
    <row r="39" spans="3:10" ht="20" thickBot="1" x14ac:dyDescent="0.3">
      <c r="C39" s="126" t="s">
        <v>25</v>
      </c>
      <c r="D39" s="127"/>
      <c r="E39" s="127"/>
      <c r="F39" s="127"/>
      <c r="G39" s="127"/>
      <c r="H39" s="127"/>
      <c r="I39" s="127"/>
      <c r="J39" s="128"/>
    </row>
    <row r="40" spans="3:10" ht="20" thickBot="1" x14ac:dyDescent="0.3">
      <c r="C40" s="47" t="s">
        <v>43</v>
      </c>
      <c r="D40" s="48"/>
      <c r="E40" s="49">
        <v>1</v>
      </c>
      <c r="F40" s="48">
        <v>2</v>
      </c>
      <c r="G40" s="49">
        <v>3</v>
      </c>
      <c r="H40" s="48">
        <v>4</v>
      </c>
      <c r="I40" s="49">
        <v>5</v>
      </c>
      <c r="J40" s="50">
        <v>6</v>
      </c>
    </row>
    <row r="41" spans="3:10" x14ac:dyDescent="0.2">
      <c r="C41" s="8" t="s">
        <v>28</v>
      </c>
      <c r="D41" s="51"/>
      <c r="E41" s="52"/>
      <c r="F41" s="53">
        <f>VLOOKUP("IZ",$B$4:$G$17,$D$19+2,FALSE)</f>
        <v>7555.5555555555547</v>
      </c>
      <c r="G41" s="54">
        <f>F41</f>
        <v>7555.5555555555547</v>
      </c>
      <c r="H41" s="51"/>
      <c r="I41" s="54">
        <f>G41</f>
        <v>7555.5555555555547</v>
      </c>
      <c r="J41" s="55">
        <f>I41</f>
        <v>7555.5555555555547</v>
      </c>
    </row>
    <row r="42" spans="3:10" x14ac:dyDescent="0.2">
      <c r="C42" s="9" t="s">
        <v>17</v>
      </c>
      <c r="D42" s="56"/>
      <c r="E42" s="57" t="s">
        <v>18</v>
      </c>
      <c r="F42" s="56" t="s">
        <v>18</v>
      </c>
      <c r="G42" s="57" t="s">
        <v>19</v>
      </c>
      <c r="H42" s="56" t="s">
        <v>18</v>
      </c>
      <c r="I42" s="57" t="s">
        <v>18</v>
      </c>
      <c r="J42" s="58" t="s">
        <v>19</v>
      </c>
    </row>
    <row r="43" spans="3:10" x14ac:dyDescent="0.2">
      <c r="C43" s="9"/>
      <c r="D43" s="56"/>
      <c r="E43" s="57" t="s">
        <v>12</v>
      </c>
      <c r="F43" s="56" t="s">
        <v>12</v>
      </c>
      <c r="G43" s="57" t="s">
        <v>12</v>
      </c>
      <c r="H43" s="56" t="s">
        <v>13</v>
      </c>
      <c r="I43" s="57" t="s">
        <v>13</v>
      </c>
      <c r="J43" s="58" t="s">
        <v>13</v>
      </c>
    </row>
    <row r="44" spans="3:10" x14ac:dyDescent="0.2">
      <c r="C44" s="9" t="s">
        <v>8</v>
      </c>
      <c r="D44" s="56"/>
      <c r="E44" s="59">
        <f>VLOOKUP("TV",$B$4:$G$17,$D$19+2,FALSE)</f>
        <v>10359</v>
      </c>
      <c r="F44" s="56">
        <f>E44</f>
        <v>10359</v>
      </c>
      <c r="G44" s="57">
        <f>F44</f>
        <v>10359</v>
      </c>
      <c r="H44" s="56">
        <f>G44</f>
        <v>10359</v>
      </c>
      <c r="I44" s="57">
        <f>H44</f>
        <v>10359</v>
      </c>
      <c r="J44" s="58">
        <f>I44</f>
        <v>10359</v>
      </c>
    </row>
    <row r="45" spans="3:10" x14ac:dyDescent="0.2">
      <c r="C45" s="9" t="s">
        <v>29</v>
      </c>
      <c r="D45" s="56"/>
      <c r="E45" s="60"/>
      <c r="F45" s="59">
        <f>VLOOKUP("OZ",$B$4:$G$17,$D$19+2,FALSE)</f>
        <v>8350</v>
      </c>
      <c r="G45" s="61">
        <f>F45</f>
        <v>8350</v>
      </c>
      <c r="H45" s="56"/>
      <c r="I45" s="57">
        <f>G45</f>
        <v>8350</v>
      </c>
      <c r="J45" s="58">
        <f>I45</f>
        <v>8350</v>
      </c>
    </row>
    <row r="46" spans="3:10" x14ac:dyDescent="0.2">
      <c r="C46" s="9" t="s">
        <v>9</v>
      </c>
      <c r="D46" s="56"/>
      <c r="E46" s="60"/>
      <c r="F46" s="59">
        <f>VLOOKUP("TL",$B$4:$G$17,$D$19+2,FALSE)</f>
        <v>5088</v>
      </c>
      <c r="G46" s="61">
        <f>G45-G48</f>
        <v>2505</v>
      </c>
      <c r="H46" s="56"/>
      <c r="I46" s="57">
        <f>F46</f>
        <v>5088</v>
      </c>
      <c r="J46" s="58">
        <f>J45-J48</f>
        <v>2505</v>
      </c>
    </row>
    <row r="47" spans="3:10" x14ac:dyDescent="0.2">
      <c r="C47" s="9"/>
      <c r="D47" s="56"/>
      <c r="E47" s="57"/>
      <c r="F47" s="56"/>
      <c r="G47" s="57"/>
      <c r="H47" s="56"/>
      <c r="I47" s="57"/>
      <c r="J47" s="58"/>
    </row>
    <row r="48" spans="3:10" x14ac:dyDescent="0.2">
      <c r="C48" s="9" t="s">
        <v>3</v>
      </c>
      <c r="D48" s="56"/>
      <c r="E48" s="57"/>
      <c r="F48" s="56">
        <f t="shared" ref="F48:I48" si="2">F45-F46</f>
        <v>3262</v>
      </c>
      <c r="G48" s="57">
        <f>G45*G49</f>
        <v>5845</v>
      </c>
      <c r="H48" s="56"/>
      <c r="I48" s="57">
        <f t="shared" si="2"/>
        <v>3262</v>
      </c>
      <c r="J48" s="58">
        <f>J45*J49</f>
        <v>5845</v>
      </c>
    </row>
    <row r="49" spans="3:16" x14ac:dyDescent="0.2">
      <c r="C49" s="9" t="s">
        <v>4</v>
      </c>
      <c r="D49" s="56"/>
      <c r="E49" s="62" t="str">
        <f t="shared" ref="E49:I49" si="3">IF(E45&lt;&gt;0,E48/E45," ")</f>
        <v xml:space="preserve"> </v>
      </c>
      <c r="F49" s="63">
        <f t="shared" si="3"/>
        <v>0.39065868263473053</v>
      </c>
      <c r="G49" s="62">
        <f>VLOOKUP("VD",$B$4:$G$17,$D$19+2,FALSE)</f>
        <v>0.7</v>
      </c>
      <c r="H49" s="63" t="str">
        <f t="shared" si="3"/>
        <v xml:space="preserve"> </v>
      </c>
      <c r="I49" s="62">
        <f t="shared" si="3"/>
        <v>0.39065868263473053</v>
      </c>
      <c r="J49" s="64">
        <f>G49</f>
        <v>0.7</v>
      </c>
    </row>
    <row r="50" spans="3:16" x14ac:dyDescent="0.2">
      <c r="C50" s="9"/>
      <c r="D50" s="56"/>
      <c r="E50" s="57"/>
      <c r="F50" s="56"/>
      <c r="G50" s="57"/>
      <c r="H50" s="56"/>
      <c r="I50" s="57"/>
      <c r="J50" s="58"/>
    </row>
    <row r="51" spans="3:16" x14ac:dyDescent="0.2">
      <c r="C51" s="5" t="s">
        <v>20</v>
      </c>
      <c r="D51" s="65">
        <f>VLOOKUP("VL",$B$4:$G$17,$D$19+2,FALSE)</f>
        <v>0.13700000000000001</v>
      </c>
      <c r="E51" s="66">
        <f t="shared" ref="E51:J51" si="4">(E44-E45+E46)*$D51</f>
        <v>1419.1830000000002</v>
      </c>
      <c r="F51" s="67">
        <f t="shared" si="4"/>
        <v>972.2890000000001</v>
      </c>
      <c r="G51" s="68">
        <f t="shared" si="4"/>
        <v>618.41800000000001</v>
      </c>
      <c r="H51" s="67">
        <f t="shared" si="4"/>
        <v>1419.1830000000002</v>
      </c>
      <c r="I51" s="68">
        <f t="shared" si="4"/>
        <v>972.2890000000001</v>
      </c>
      <c r="J51" s="69">
        <f t="shared" si="4"/>
        <v>618.41800000000001</v>
      </c>
    </row>
    <row r="52" spans="3:16" x14ac:dyDescent="0.2">
      <c r="C52" s="5" t="s">
        <v>21</v>
      </c>
      <c r="D52" s="65">
        <f>VLOOKUP("VT",$B$4:$G$17,$D$19+2,FALSE)</f>
        <v>-0.08</v>
      </c>
      <c r="E52" s="66">
        <f t="shared" ref="E52:J52" si="5">E46*$D52</f>
        <v>0</v>
      </c>
      <c r="F52" s="67">
        <f t="shared" si="5"/>
        <v>-407.04</v>
      </c>
      <c r="G52" s="68">
        <f t="shared" si="5"/>
        <v>-200.4</v>
      </c>
      <c r="H52" s="67">
        <f t="shared" si="5"/>
        <v>0</v>
      </c>
      <c r="I52" s="68">
        <f t="shared" si="5"/>
        <v>-407.04</v>
      </c>
      <c r="J52" s="69">
        <f t="shared" si="5"/>
        <v>-200.4</v>
      </c>
    </row>
    <row r="53" spans="3:16" x14ac:dyDescent="0.2">
      <c r="C53" s="5" t="s">
        <v>5</v>
      </c>
      <c r="D53" s="65">
        <f>VLOOKUP("VK",$B$4:$G$17,$D$19+2,FALSE)</f>
        <v>4.9504132231404965</v>
      </c>
      <c r="E53" s="66">
        <f t="shared" ref="E53:J53" si="6">$D53*12</f>
        <v>59.404958677685954</v>
      </c>
      <c r="F53" s="67">
        <f t="shared" si="6"/>
        <v>59.404958677685954</v>
      </c>
      <c r="G53" s="68">
        <f t="shared" si="6"/>
        <v>59.404958677685954</v>
      </c>
      <c r="H53" s="67">
        <f t="shared" si="6"/>
        <v>59.404958677685954</v>
      </c>
      <c r="I53" s="68">
        <f t="shared" si="6"/>
        <v>59.404958677685954</v>
      </c>
      <c r="J53" s="69">
        <f t="shared" si="6"/>
        <v>59.404958677685954</v>
      </c>
    </row>
    <row r="54" spans="3:16" x14ac:dyDescent="0.2">
      <c r="C54" s="9"/>
      <c r="D54" s="67"/>
      <c r="E54" s="68"/>
      <c r="F54" s="67"/>
      <c r="G54" s="68"/>
      <c r="H54" s="67"/>
      <c r="I54" s="68"/>
      <c r="J54" s="69"/>
    </row>
    <row r="55" spans="3:16" x14ac:dyDescent="0.2">
      <c r="C55" s="9" t="s">
        <v>14</v>
      </c>
      <c r="D55" s="67"/>
      <c r="E55" s="68" t="s">
        <v>15</v>
      </c>
      <c r="F55" s="67" t="s">
        <v>15</v>
      </c>
      <c r="G55" s="70" t="s">
        <v>15</v>
      </c>
      <c r="H55" s="68" t="s">
        <v>16</v>
      </c>
      <c r="I55" s="68" t="s">
        <v>16</v>
      </c>
      <c r="J55" s="69" t="s">
        <v>16</v>
      </c>
    </row>
    <row r="56" spans="3:16" x14ac:dyDescent="0.2">
      <c r="C56" s="9" t="s">
        <v>6</v>
      </c>
      <c r="D56" s="71">
        <f>0.1229/1.21</f>
        <v>0.10157024793388429</v>
      </c>
      <c r="E56" s="68">
        <f t="shared" ref="E56:J56" si="7">IF(E55="ja",(E44-E45)*$D56,(E44-E45+E46)*$D56)</f>
        <v>1052.1661983471074</v>
      </c>
      <c r="F56" s="67">
        <f t="shared" si="7"/>
        <v>204.05462809917356</v>
      </c>
      <c r="G56" s="68">
        <f t="shared" si="7"/>
        <v>204.05462809917356</v>
      </c>
      <c r="H56" s="68">
        <f t="shared" si="7"/>
        <v>1052.1661983471074</v>
      </c>
      <c r="I56" s="68">
        <f t="shared" si="7"/>
        <v>720.8440495867768</v>
      </c>
      <c r="J56" s="69">
        <f t="shared" si="7"/>
        <v>458.48809917355368</v>
      </c>
    </row>
    <row r="57" spans="3:16" x14ac:dyDescent="0.2">
      <c r="C57" s="9" t="s">
        <v>0</v>
      </c>
      <c r="D57" s="67"/>
      <c r="E57" s="68">
        <v>-653.19000000000005</v>
      </c>
      <c r="F57" s="67">
        <f>E57</f>
        <v>-653.19000000000005</v>
      </c>
      <c r="G57" s="68">
        <f>F57</f>
        <v>-653.19000000000005</v>
      </c>
      <c r="H57" s="68">
        <f>-653.19</f>
        <v>-653.19000000000005</v>
      </c>
      <c r="I57" s="68">
        <f>-653.19</f>
        <v>-653.19000000000005</v>
      </c>
      <c r="J57" s="69">
        <f>I57</f>
        <v>-653.19000000000005</v>
      </c>
    </row>
    <row r="58" spans="3:16" x14ac:dyDescent="0.2">
      <c r="C58" s="9" t="s">
        <v>2</v>
      </c>
      <c r="D58" s="67"/>
      <c r="E58" s="68">
        <v>475.92</v>
      </c>
      <c r="F58" s="67">
        <f>E58</f>
        <v>475.92</v>
      </c>
      <c r="G58" s="68">
        <f>F58</f>
        <v>475.92</v>
      </c>
      <c r="H58" s="68">
        <f>G58</f>
        <v>475.92</v>
      </c>
      <c r="I58" s="68">
        <f>H58</f>
        <v>475.92</v>
      </c>
      <c r="J58" s="69">
        <f>I58</f>
        <v>475.92</v>
      </c>
    </row>
    <row r="59" spans="3:16" x14ac:dyDescent="0.2">
      <c r="C59" s="9"/>
      <c r="D59" s="67"/>
      <c r="E59" s="68"/>
      <c r="F59" s="67"/>
      <c r="G59" s="68"/>
      <c r="H59" s="68"/>
      <c r="I59" s="68"/>
      <c r="J59" s="69"/>
    </row>
    <row r="60" spans="3:16" x14ac:dyDescent="0.2">
      <c r="C60" s="9" t="s">
        <v>1</v>
      </c>
      <c r="D60" s="67"/>
      <c r="E60" s="68">
        <f t="shared" ref="E60:J60" si="8">SUM(E51:E58)</f>
        <v>2353.4841570247936</v>
      </c>
      <c r="F60" s="67">
        <f t="shared" si="8"/>
        <v>651.43858677685944</v>
      </c>
      <c r="G60" s="68">
        <f t="shared" si="8"/>
        <v>504.2075867768595</v>
      </c>
      <c r="H60" s="67">
        <f t="shared" si="8"/>
        <v>2353.4841570247936</v>
      </c>
      <c r="I60" s="68">
        <f t="shared" si="8"/>
        <v>1168.2280082644629</v>
      </c>
      <c r="J60" s="69">
        <f t="shared" si="8"/>
        <v>758.64105785123957</v>
      </c>
    </row>
    <row r="61" spans="3:16" s="2" customFormat="1" ht="17" thickBot="1" x14ac:dyDescent="0.25">
      <c r="C61" s="10" t="s">
        <v>7</v>
      </c>
      <c r="D61" s="67"/>
      <c r="E61" s="68">
        <f t="shared" ref="E61:J61" si="9">0.21*E60</f>
        <v>494.23167297520666</v>
      </c>
      <c r="F61" s="67">
        <f t="shared" si="9"/>
        <v>136.80210322314048</v>
      </c>
      <c r="G61" s="68">
        <f t="shared" si="9"/>
        <v>105.88359322314049</v>
      </c>
      <c r="H61" s="67">
        <f t="shared" si="9"/>
        <v>494.23167297520666</v>
      </c>
      <c r="I61" s="68">
        <f t="shared" si="9"/>
        <v>245.3278817355372</v>
      </c>
      <c r="J61" s="69">
        <f t="shared" si="9"/>
        <v>159.31462214876029</v>
      </c>
      <c r="P61" s="23"/>
    </row>
    <row r="62" spans="3:16" x14ac:dyDescent="0.2">
      <c r="C62" s="9" t="s">
        <v>10</v>
      </c>
      <c r="D62" s="4"/>
      <c r="E62" s="72">
        <f t="shared" ref="E62:J62" si="10">SUM(E60:E61)</f>
        <v>2847.7158300000001</v>
      </c>
      <c r="F62" s="73">
        <f t="shared" si="10"/>
        <v>788.24068999999986</v>
      </c>
      <c r="G62" s="72">
        <f t="shared" si="10"/>
        <v>610.09118000000001</v>
      </c>
      <c r="H62" s="73">
        <f t="shared" si="10"/>
        <v>2847.7158300000001</v>
      </c>
      <c r="I62" s="72">
        <f t="shared" si="10"/>
        <v>1413.5558900000001</v>
      </c>
      <c r="J62" s="74">
        <f t="shared" si="10"/>
        <v>917.9556799999998</v>
      </c>
    </row>
    <row r="63" spans="3:16" x14ac:dyDescent="0.2">
      <c r="C63" s="9"/>
      <c r="D63" s="5"/>
      <c r="E63" s="75"/>
      <c r="F63" s="18"/>
      <c r="G63" s="75"/>
      <c r="H63" s="18"/>
      <c r="I63" s="75"/>
      <c r="J63" s="76"/>
    </row>
    <row r="64" spans="3:16" x14ac:dyDescent="0.2">
      <c r="C64" s="9" t="s">
        <v>30</v>
      </c>
      <c r="D64" s="5"/>
      <c r="E64" s="75"/>
      <c r="F64" s="77">
        <f>E62-F62</f>
        <v>2059.4751400000005</v>
      </c>
      <c r="G64" s="75"/>
      <c r="H64" s="18"/>
      <c r="I64" s="78">
        <f>H62-I62</f>
        <v>1434.15994</v>
      </c>
      <c r="J64" s="76"/>
    </row>
    <row r="65" spans="3:16" s="3" customFormat="1" x14ac:dyDescent="0.2">
      <c r="C65" s="11" t="s">
        <v>31</v>
      </c>
      <c r="D65" s="6"/>
      <c r="E65" s="79"/>
      <c r="F65" s="80">
        <f>F41/F64</f>
        <v>3.6686801451536595</v>
      </c>
      <c r="G65" s="79"/>
      <c r="H65" s="81"/>
      <c r="I65" s="82">
        <f>I41/I64</f>
        <v>5.2682796003600227</v>
      </c>
      <c r="J65" s="83"/>
      <c r="P65" s="24"/>
    </row>
    <row r="66" spans="3:16" ht="17" thickBot="1" x14ac:dyDescent="0.25">
      <c r="C66" s="12" t="s">
        <v>11</v>
      </c>
      <c r="D66" s="7"/>
      <c r="E66" s="84"/>
      <c r="F66" s="85"/>
      <c r="G66" s="86">
        <f>F62-G62</f>
        <v>178.14950999999985</v>
      </c>
      <c r="H66" s="85"/>
      <c r="I66" s="84"/>
      <c r="J66" s="87">
        <f>I62-J62</f>
        <v>495.60021000000029</v>
      </c>
    </row>
    <row r="67" spans="3:16" ht="17" thickBot="1" x14ac:dyDescent="0.25">
      <c r="C67" s="19"/>
      <c r="D67" s="19"/>
      <c r="E67" s="19"/>
      <c r="F67" s="19"/>
      <c r="G67" s="20"/>
      <c r="H67" s="19"/>
      <c r="I67" s="19"/>
      <c r="J67" s="20"/>
    </row>
    <row r="68" spans="3:16" ht="20" thickBot="1" x14ac:dyDescent="0.3">
      <c r="C68" s="126" t="s">
        <v>26</v>
      </c>
      <c r="D68" s="127"/>
      <c r="E68" s="127"/>
      <c r="F68" s="127"/>
      <c r="G68" s="127"/>
      <c r="H68" s="127"/>
      <c r="I68" s="127"/>
      <c r="J68" s="128"/>
    </row>
    <row r="69" spans="3:16" ht="20" thickBot="1" x14ac:dyDescent="0.3">
      <c r="C69" s="47" t="s">
        <v>27</v>
      </c>
      <c r="D69" s="48"/>
      <c r="E69" s="49">
        <v>7</v>
      </c>
      <c r="F69" s="48">
        <v>8</v>
      </c>
      <c r="G69" s="49">
        <v>9</v>
      </c>
      <c r="H69" s="48">
        <v>10</v>
      </c>
      <c r="I69" s="49">
        <v>11</v>
      </c>
      <c r="J69" s="50">
        <v>12</v>
      </c>
    </row>
    <row r="70" spans="3:16" x14ac:dyDescent="0.2">
      <c r="C70" s="8" t="s">
        <v>28</v>
      </c>
      <c r="D70" s="51"/>
      <c r="E70" s="52"/>
      <c r="F70" s="53">
        <f>F41</f>
        <v>7555.5555555555547</v>
      </c>
      <c r="G70" s="54">
        <f>F70</f>
        <v>7555.5555555555547</v>
      </c>
      <c r="H70" s="51"/>
      <c r="I70" s="54">
        <f>G70</f>
        <v>7555.5555555555547</v>
      </c>
      <c r="J70" s="55">
        <f>I70</f>
        <v>7555.5555555555547</v>
      </c>
    </row>
    <row r="71" spans="3:16" x14ac:dyDescent="0.2">
      <c r="C71" s="9" t="s">
        <v>17</v>
      </c>
      <c r="D71" s="56"/>
      <c r="E71" s="57" t="s">
        <v>18</v>
      </c>
      <c r="F71" s="56" t="s">
        <v>18</v>
      </c>
      <c r="G71" s="57" t="s">
        <v>19</v>
      </c>
      <c r="H71" s="56" t="s">
        <v>18</v>
      </c>
      <c r="I71" s="57" t="s">
        <v>18</v>
      </c>
      <c r="J71" s="58" t="s">
        <v>19</v>
      </c>
    </row>
    <row r="72" spans="3:16" x14ac:dyDescent="0.2">
      <c r="C72" s="9"/>
      <c r="D72" s="56"/>
      <c r="E72" s="57" t="s">
        <v>12</v>
      </c>
      <c r="F72" s="56" t="s">
        <v>12</v>
      </c>
      <c r="G72" s="57" t="s">
        <v>12</v>
      </c>
      <c r="H72" s="56" t="s">
        <v>13</v>
      </c>
      <c r="I72" s="57" t="s">
        <v>13</v>
      </c>
      <c r="J72" s="58" t="s">
        <v>13</v>
      </c>
    </row>
    <row r="73" spans="3:16" x14ac:dyDescent="0.2">
      <c r="C73" s="9" t="s">
        <v>8</v>
      </c>
      <c r="D73" s="56"/>
      <c r="E73" s="57">
        <f>E44</f>
        <v>10359</v>
      </c>
      <c r="F73" s="56">
        <f>E73</f>
        <v>10359</v>
      </c>
      <c r="G73" s="57">
        <f>F73</f>
        <v>10359</v>
      </c>
      <c r="H73" s="56">
        <f>G73</f>
        <v>10359</v>
      </c>
      <c r="I73" s="57">
        <f>H73</f>
        <v>10359</v>
      </c>
      <c r="J73" s="58">
        <f>I73</f>
        <v>10359</v>
      </c>
    </row>
    <row r="74" spans="3:16" x14ac:dyDescent="0.2">
      <c r="C74" s="9" t="s">
        <v>29</v>
      </c>
      <c r="D74" s="56"/>
      <c r="E74" s="57"/>
      <c r="F74" s="56">
        <f>F45</f>
        <v>8350</v>
      </c>
      <c r="G74" s="57">
        <f>F74</f>
        <v>8350</v>
      </c>
      <c r="H74" s="56"/>
      <c r="I74" s="57">
        <f>F74</f>
        <v>8350</v>
      </c>
      <c r="J74" s="58">
        <f>G74</f>
        <v>8350</v>
      </c>
    </row>
    <row r="75" spans="3:16" x14ac:dyDescent="0.2">
      <c r="C75" s="9" t="s">
        <v>9</v>
      </c>
      <c r="D75" s="56"/>
      <c r="E75" s="57"/>
      <c r="F75" s="56">
        <f>F46</f>
        <v>5088</v>
      </c>
      <c r="G75" s="57">
        <f>G74-G77</f>
        <v>2505</v>
      </c>
      <c r="H75" s="56"/>
      <c r="I75" s="57">
        <f>F75</f>
        <v>5088</v>
      </c>
      <c r="J75" s="58">
        <f>J74-J77</f>
        <v>2505</v>
      </c>
    </row>
    <row r="76" spans="3:16" x14ac:dyDescent="0.2">
      <c r="C76" s="9"/>
      <c r="D76" s="56"/>
      <c r="E76" s="57"/>
      <c r="F76" s="56"/>
      <c r="G76" s="57"/>
      <c r="H76" s="56"/>
      <c r="I76" s="57"/>
      <c r="J76" s="58"/>
    </row>
    <row r="77" spans="3:16" x14ac:dyDescent="0.2">
      <c r="C77" s="9" t="s">
        <v>3</v>
      </c>
      <c r="D77" s="56"/>
      <c r="E77" s="57"/>
      <c r="F77" s="56">
        <f t="shared" ref="F77:I77" si="11">F74-F75</f>
        <v>3262</v>
      </c>
      <c r="G77" s="57">
        <f>G74*G78</f>
        <v>5845</v>
      </c>
      <c r="H77" s="56"/>
      <c r="I77" s="57">
        <f t="shared" si="11"/>
        <v>3262</v>
      </c>
      <c r="J77" s="58">
        <f>J74*J78</f>
        <v>5845</v>
      </c>
    </row>
    <row r="78" spans="3:16" x14ac:dyDescent="0.2">
      <c r="C78" s="9" t="s">
        <v>4</v>
      </c>
      <c r="D78" s="56"/>
      <c r="E78" s="62" t="str">
        <f t="shared" ref="E78" si="12">IF(E74&lt;&gt;0,E77/E74," ")</f>
        <v xml:space="preserve"> </v>
      </c>
      <c r="F78" s="63">
        <f t="shared" ref="F78" si="13">IF(F74&lt;&gt;0,F77/F74," ")</f>
        <v>0.39065868263473053</v>
      </c>
      <c r="G78" s="62">
        <f>VLOOKUP("VD",$B$4:$G$17,$D$19+2,FALSE)</f>
        <v>0.7</v>
      </c>
      <c r="H78" s="63" t="str">
        <f t="shared" ref="H78" si="14">IF(H74&lt;&gt;0,H77/H74," ")</f>
        <v xml:space="preserve"> </v>
      </c>
      <c r="I78" s="62">
        <f t="shared" ref="I78" si="15">IF(I74&lt;&gt;0,I77/I74," ")</f>
        <v>0.39065868263473053</v>
      </c>
      <c r="J78" s="64">
        <f>G78</f>
        <v>0.7</v>
      </c>
    </row>
    <row r="79" spans="3:16" x14ac:dyDescent="0.2">
      <c r="C79" s="9"/>
      <c r="D79" s="56"/>
      <c r="E79" s="57"/>
      <c r="F79" s="56"/>
      <c r="G79" s="57"/>
      <c r="H79" s="56"/>
      <c r="I79" s="57"/>
      <c r="J79" s="58"/>
    </row>
    <row r="80" spans="3:16" x14ac:dyDescent="0.2">
      <c r="C80" s="9" t="s">
        <v>22</v>
      </c>
      <c r="D80" s="67">
        <f>VLOOKUP("DL",$B$4:$G$17,$D$19+2,FALSE)</f>
        <v>0.1246</v>
      </c>
      <c r="E80" s="68">
        <f t="shared" ref="E80:J80" si="16">(E73-E74+E75)*$D80</f>
        <v>1290.7314000000001</v>
      </c>
      <c r="F80" s="67">
        <f t="shared" si="16"/>
        <v>884.28620000000001</v>
      </c>
      <c r="G80" s="68">
        <f t="shared" si="16"/>
        <v>562.44439999999997</v>
      </c>
      <c r="H80" s="67">
        <f t="shared" si="16"/>
        <v>1290.7314000000001</v>
      </c>
      <c r="I80" s="68">
        <f t="shared" si="16"/>
        <v>884.28620000000001</v>
      </c>
      <c r="J80" s="69">
        <f t="shared" si="16"/>
        <v>562.44439999999997</v>
      </c>
    </row>
    <row r="81" spans="3:10" x14ac:dyDescent="0.2">
      <c r="C81" s="9" t="s">
        <v>23</v>
      </c>
      <c r="D81" s="67">
        <f>VLOOKUP("DT",$B$4:$G$17,$D$19+2,FALSE)</f>
        <v>-0.04</v>
      </c>
      <c r="E81" s="68">
        <f t="shared" ref="E81:J81" si="17">E75*$D81</f>
        <v>0</v>
      </c>
      <c r="F81" s="67">
        <f t="shared" si="17"/>
        <v>-203.52</v>
      </c>
      <c r="G81" s="68">
        <f t="shared" si="17"/>
        <v>-100.2</v>
      </c>
      <c r="H81" s="67">
        <f t="shared" si="17"/>
        <v>0</v>
      </c>
      <c r="I81" s="68">
        <f t="shared" si="17"/>
        <v>-203.52</v>
      </c>
      <c r="J81" s="69">
        <f t="shared" si="17"/>
        <v>-100.2</v>
      </c>
    </row>
    <row r="82" spans="3:10" x14ac:dyDescent="0.2">
      <c r="C82" s="9" t="s">
        <v>24</v>
      </c>
      <c r="D82" s="67">
        <f>VLOOKUP("DI",$B$4:$G$17,$D$19+2,FALSE)</f>
        <v>3.5000000000000003E-2</v>
      </c>
      <c r="E82" s="68">
        <f t="shared" ref="E82:J82" si="18">$D82*(E73-E74+2*E75)</f>
        <v>362.56500000000005</v>
      </c>
      <c r="F82" s="67">
        <f t="shared" si="18"/>
        <v>426.47500000000002</v>
      </c>
      <c r="G82" s="68">
        <f t="shared" si="18"/>
        <v>245.66500000000002</v>
      </c>
      <c r="H82" s="67">
        <f t="shared" si="18"/>
        <v>362.56500000000005</v>
      </c>
      <c r="I82" s="68">
        <f t="shared" si="18"/>
        <v>426.47500000000002</v>
      </c>
      <c r="J82" s="69">
        <f t="shared" si="18"/>
        <v>245.66500000000002</v>
      </c>
    </row>
    <row r="83" spans="3:10" x14ac:dyDescent="0.2">
      <c r="C83" s="9" t="s">
        <v>61</v>
      </c>
      <c r="D83" s="67">
        <f>VLOOKUP("DV",$B$4:$G$17,$D$19+2,FALSE)</f>
        <v>7.4297520661157028</v>
      </c>
      <c r="E83" s="68">
        <f t="shared" ref="E83:J83" si="19">$D83*12</f>
        <v>89.15702479338843</v>
      </c>
      <c r="F83" s="67">
        <f t="shared" si="19"/>
        <v>89.15702479338843</v>
      </c>
      <c r="G83" s="68">
        <f t="shared" si="19"/>
        <v>89.15702479338843</v>
      </c>
      <c r="H83" s="67">
        <f t="shared" si="19"/>
        <v>89.15702479338843</v>
      </c>
      <c r="I83" s="68">
        <f t="shared" si="19"/>
        <v>89.15702479338843</v>
      </c>
      <c r="J83" s="69">
        <f t="shared" si="19"/>
        <v>89.15702479338843</v>
      </c>
    </row>
    <row r="84" spans="3:10" x14ac:dyDescent="0.2">
      <c r="C84" s="9"/>
      <c r="D84" s="67"/>
      <c r="E84" s="68"/>
      <c r="F84" s="67"/>
      <c r="G84" s="68"/>
      <c r="H84" s="67"/>
      <c r="I84" s="68"/>
      <c r="J84" s="69"/>
    </row>
    <row r="85" spans="3:10" x14ac:dyDescent="0.2">
      <c r="C85" s="9" t="s">
        <v>14</v>
      </c>
      <c r="D85" s="67"/>
      <c r="E85" s="68" t="s">
        <v>15</v>
      </c>
      <c r="F85" s="67" t="s">
        <v>15</v>
      </c>
      <c r="G85" s="68" t="s">
        <v>15</v>
      </c>
      <c r="H85" s="67" t="s">
        <v>16</v>
      </c>
      <c r="I85" s="68" t="s">
        <v>16</v>
      </c>
      <c r="J85" s="69" t="s">
        <v>16</v>
      </c>
    </row>
    <row r="86" spans="3:10" x14ac:dyDescent="0.2">
      <c r="C86" s="9" t="s">
        <v>6</v>
      </c>
      <c r="D86" s="71">
        <f>D56</f>
        <v>0.10157024793388429</v>
      </c>
      <c r="E86" s="68">
        <f t="shared" ref="E86" si="20">IF(E85="ja",(E73-E74)*$D86,(E73-E74+E75)*$D86)</f>
        <v>1052.1661983471074</v>
      </c>
      <c r="F86" s="67">
        <f t="shared" ref="F86" si="21">IF(F85="ja",(F73-F74)*$D86,(F73-F74+F75)*$D86)</f>
        <v>204.05462809917356</v>
      </c>
      <c r="G86" s="68">
        <f t="shared" ref="G86" si="22">IF(G85="ja",(G73-G74)*$D86,(G73-G74+G75)*$D86)</f>
        <v>204.05462809917356</v>
      </c>
      <c r="H86" s="67">
        <f t="shared" ref="H86" si="23">IF(H85="ja",(H73-H74)*$D86,(H73-H74+H75)*$D86)</f>
        <v>1052.1661983471074</v>
      </c>
      <c r="I86" s="68">
        <f t="shared" ref="I86" si="24">IF(I85="ja",(I73-I74)*$D86,(I73-I74+I75)*$D86)</f>
        <v>720.8440495867768</v>
      </c>
      <c r="J86" s="69">
        <f t="shared" ref="J86" si="25">IF(J85="ja",(J73-J74)*$D86,(J73-J74+J75)*$D86)</f>
        <v>458.48809917355368</v>
      </c>
    </row>
    <row r="87" spans="3:10" x14ac:dyDescent="0.2">
      <c r="C87" s="9" t="s">
        <v>0</v>
      </c>
      <c r="D87" s="67"/>
      <c r="E87" s="68">
        <v>-653.19000000000005</v>
      </c>
      <c r="F87" s="67">
        <v>-653.19000000000005</v>
      </c>
      <c r="G87" s="68">
        <v>-653.19000000000005</v>
      </c>
      <c r="H87" s="67">
        <v>-653.19000000000005</v>
      </c>
      <c r="I87" s="68">
        <v>-653.19000000000005</v>
      </c>
      <c r="J87" s="69">
        <v>-653.19000000000005</v>
      </c>
    </row>
    <row r="88" spans="3:10" x14ac:dyDescent="0.2">
      <c r="C88" s="9" t="s">
        <v>2</v>
      </c>
      <c r="D88" s="67"/>
      <c r="E88" s="68">
        <v>475.92</v>
      </c>
      <c r="F88" s="67">
        <v>475.92</v>
      </c>
      <c r="G88" s="68">
        <v>475.92</v>
      </c>
      <c r="H88" s="67">
        <v>475.92</v>
      </c>
      <c r="I88" s="68">
        <v>475.92</v>
      </c>
      <c r="J88" s="69">
        <v>475.92</v>
      </c>
    </row>
    <row r="89" spans="3:10" x14ac:dyDescent="0.2">
      <c r="C89" s="9"/>
      <c r="D89" s="67"/>
      <c r="E89" s="68"/>
      <c r="F89" s="67"/>
      <c r="G89" s="68"/>
      <c r="H89" s="67"/>
      <c r="I89" s="68"/>
      <c r="J89" s="69"/>
    </row>
    <row r="90" spans="3:10" x14ac:dyDescent="0.2">
      <c r="C90" s="9" t="s">
        <v>1</v>
      </c>
      <c r="D90" s="67"/>
      <c r="E90" s="68">
        <f t="shared" ref="E90:J90" si="26">SUM(E80:E88)</f>
        <v>2617.3496231404961</v>
      </c>
      <c r="F90" s="67">
        <f t="shared" si="26"/>
        <v>1223.1828528925621</v>
      </c>
      <c r="G90" s="68">
        <f t="shared" si="26"/>
        <v>823.85105289256194</v>
      </c>
      <c r="H90" s="67">
        <f t="shared" si="26"/>
        <v>2617.3496231404961</v>
      </c>
      <c r="I90" s="68">
        <f t="shared" si="26"/>
        <v>1739.9722743801653</v>
      </c>
      <c r="J90" s="69">
        <f t="shared" si="26"/>
        <v>1078.2845239669423</v>
      </c>
    </row>
    <row r="91" spans="3:10" ht="17" thickBot="1" x14ac:dyDescent="0.25">
      <c r="C91" s="10" t="s">
        <v>7</v>
      </c>
      <c r="D91" s="67"/>
      <c r="E91" s="68">
        <f t="shared" ref="E91" si="27">0.21*E90</f>
        <v>549.6434208595042</v>
      </c>
      <c r="F91" s="67">
        <f t="shared" ref="F91" si="28">0.21*F90</f>
        <v>256.86839910743805</v>
      </c>
      <c r="G91" s="68">
        <f t="shared" ref="G91" si="29">0.21*G90</f>
        <v>173.00872110743799</v>
      </c>
      <c r="H91" s="67">
        <f t="shared" ref="H91" si="30">0.21*H90</f>
        <v>549.6434208595042</v>
      </c>
      <c r="I91" s="68">
        <f t="shared" ref="I91" si="31">0.21*I90</f>
        <v>365.39417761983469</v>
      </c>
      <c r="J91" s="69">
        <f t="shared" ref="J91" si="32">0.21*J90</f>
        <v>226.43975003305786</v>
      </c>
    </row>
    <row r="92" spans="3:10" x14ac:dyDescent="0.2">
      <c r="C92" s="9" t="s">
        <v>10</v>
      </c>
      <c r="D92" s="4"/>
      <c r="E92" s="72">
        <f t="shared" ref="E92" si="33">SUM(E90:E91)</f>
        <v>3166.9930440000003</v>
      </c>
      <c r="F92" s="73">
        <f t="shared" ref="F92" si="34">SUM(F90:F91)</f>
        <v>1480.0512520000002</v>
      </c>
      <c r="G92" s="72">
        <f t="shared" ref="G92" si="35">SUM(G90:G91)</f>
        <v>996.8597739999999</v>
      </c>
      <c r="H92" s="73">
        <f t="shared" ref="H92" si="36">SUM(H90:H91)</f>
        <v>3166.9930440000003</v>
      </c>
      <c r="I92" s="72">
        <f t="shared" ref="I92" si="37">SUM(I90:I91)</f>
        <v>2105.3664520000002</v>
      </c>
      <c r="J92" s="74">
        <f t="shared" ref="J92" si="38">SUM(J90:J91)</f>
        <v>1304.7242740000002</v>
      </c>
    </row>
    <row r="93" spans="3:10" x14ac:dyDescent="0.2">
      <c r="C93" s="9"/>
      <c r="D93" s="5"/>
      <c r="E93" s="75"/>
      <c r="F93" s="18"/>
      <c r="G93" s="75"/>
      <c r="H93" s="18"/>
      <c r="I93" s="75"/>
      <c r="J93" s="76"/>
    </row>
    <row r="94" spans="3:10" x14ac:dyDescent="0.2">
      <c r="C94" s="9" t="s">
        <v>30</v>
      </c>
      <c r="D94" s="5"/>
      <c r="E94" s="75"/>
      <c r="F94" s="77">
        <f>E92-F92</f>
        <v>1686.9417920000001</v>
      </c>
      <c r="G94" s="75"/>
      <c r="H94" s="18"/>
      <c r="I94" s="78">
        <f>H92-I92</f>
        <v>1061.6265920000001</v>
      </c>
      <c r="J94" s="76"/>
    </row>
    <row r="95" spans="3:10" x14ac:dyDescent="0.2">
      <c r="C95" s="11" t="s">
        <v>31</v>
      </c>
      <c r="D95" s="6"/>
      <c r="E95" s="79"/>
      <c r="F95" s="80">
        <f>F70/F94</f>
        <v>4.4788478128802884</v>
      </c>
      <c r="G95" s="79"/>
      <c r="H95" s="81"/>
      <c r="I95" s="82">
        <f>I70/I94</f>
        <v>7.1169614744875895</v>
      </c>
      <c r="J95" s="83"/>
    </row>
    <row r="96" spans="3:10" ht="17" thickBot="1" x14ac:dyDescent="0.25">
      <c r="C96" s="12" t="s">
        <v>11</v>
      </c>
      <c r="D96" s="7"/>
      <c r="E96" s="84"/>
      <c r="F96" s="85"/>
      <c r="G96" s="86">
        <f>F92-G92</f>
        <v>483.1914780000003</v>
      </c>
      <c r="H96" s="85"/>
      <c r="I96" s="84"/>
      <c r="J96" s="87">
        <f>I92-J92</f>
        <v>800.64217800000006</v>
      </c>
    </row>
  </sheetData>
  <mergeCells count="4">
    <mergeCell ref="C39:J39"/>
    <mergeCell ref="C68:J68"/>
    <mergeCell ref="C37:J37"/>
    <mergeCell ref="C21:H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analyse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van der Stoel</dc:creator>
  <cp:lastModifiedBy>Johan van der Stoel</cp:lastModifiedBy>
  <dcterms:created xsi:type="dcterms:W3CDTF">2025-05-07T19:21:58Z</dcterms:created>
  <dcterms:modified xsi:type="dcterms:W3CDTF">2025-06-09T14:05:00Z</dcterms:modified>
</cp:coreProperties>
</file>