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dstoel-my.sharepoint.com/personal/johan_vdstoel_nl/Documents/Johan/blog/"/>
    </mc:Choice>
  </mc:AlternateContent>
  <xr:revisionPtr revIDLastSave="10" documentId="8_{E38D89B9-4639-B241-8762-55B93BF8A97F}" xr6:coauthVersionLast="47" xr6:coauthVersionMax="47" xr10:uidLastSave="{CC270E63-CFA5-0F47-9AA2-A4AD2AF86841}"/>
  <bookViews>
    <workbookView xWindow="520" yWindow="-24260" windowWidth="29360" windowHeight="22280" activeTab="1" xr2:uid="{C1AEEAD2-ACD2-E54B-A3B8-BDF3E99180F2}"/>
  </bookViews>
  <sheets>
    <sheet name="Verbruikers" sheetId="9" r:id="rId1"/>
    <sheet name="Groepen" sheetId="10" r:id="rId2"/>
  </sheets>
  <definedNames>
    <definedName name="_xlnm._FilterDatabase" localSheetId="1" hidden="1">Groepen!$A$1:$I$25</definedName>
    <definedName name="_xlnm._FilterDatabase" localSheetId="0" hidden="1">Verbruikers!$A$1:$N$230</definedName>
    <definedName name="DS">Verbruikers!$C$236</definedName>
    <definedName name="L_watt">Verbruikers!$C$232</definedName>
    <definedName name="N">Verbruikers!$C$233</definedName>
    <definedName name="NT">Verbruikers!$C$235</definedName>
    <definedName name="S_watt">Verbruikers!$C$234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F3" i="10"/>
  <c r="F24" i="10"/>
  <c r="F17" i="10"/>
  <c r="F21" i="10"/>
  <c r="F14" i="10"/>
  <c r="F5" i="10"/>
  <c r="F9" i="10"/>
  <c r="F12" i="10"/>
  <c r="F13" i="10"/>
  <c r="F23" i="10"/>
  <c r="F11" i="10"/>
  <c r="F20" i="10"/>
  <c r="F19" i="10"/>
  <c r="F7" i="10"/>
  <c r="F4" i="10"/>
  <c r="F6" i="10"/>
  <c r="F18" i="10"/>
  <c r="F22" i="10"/>
  <c r="F25" i="10"/>
  <c r="F8" i="10"/>
  <c r="F10" i="10"/>
  <c r="F2" i="10"/>
  <c r="F15" i="10"/>
  <c r="F16" i="10"/>
  <c r="E166" i="9"/>
  <c r="H166" i="9" s="1"/>
  <c r="K166" i="9" s="1"/>
  <c r="E153" i="9"/>
  <c r="H153" i="9" s="1"/>
  <c r="K153" i="9" s="1"/>
  <c r="E65" i="9"/>
  <c r="H65" i="9" s="1"/>
  <c r="K65" i="9" s="1"/>
  <c r="E4" i="9"/>
  <c r="H4" i="9" s="1"/>
  <c r="K4" i="9" s="1"/>
  <c r="E152" i="9"/>
  <c r="H152" i="9" s="1"/>
  <c r="K152" i="9" s="1"/>
  <c r="E192" i="9"/>
  <c r="H192" i="9" s="1"/>
  <c r="K192" i="9" s="1"/>
  <c r="E208" i="9"/>
  <c r="H208" i="9" s="1"/>
  <c r="K208" i="9" s="1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C236" i="9"/>
  <c r="G170" i="9"/>
  <c r="K56" i="9"/>
  <c r="K55" i="9"/>
  <c r="K53" i="9"/>
  <c r="K52" i="9"/>
  <c r="K187" i="9"/>
  <c r="K186" i="9"/>
  <c r="K45" i="9"/>
  <c r="K163" i="9"/>
  <c r="K162" i="9"/>
  <c r="K161" i="9"/>
  <c r="K160" i="9"/>
  <c r="K49" i="9"/>
  <c r="K176" i="9"/>
  <c r="K175" i="9"/>
  <c r="K97" i="9"/>
  <c r="K24" i="9"/>
  <c r="K23" i="9"/>
  <c r="K22" i="9"/>
  <c r="K21" i="9"/>
  <c r="K20" i="9"/>
  <c r="K19" i="9"/>
  <c r="K125" i="9"/>
  <c r="K174" i="9"/>
  <c r="K82" i="9"/>
  <c r="K81" i="9"/>
  <c r="K105" i="9"/>
  <c r="K104" i="9"/>
  <c r="F151" i="9"/>
  <c r="F207" i="9"/>
  <c r="E151" i="9"/>
  <c r="E207" i="9"/>
  <c r="D25" i="10"/>
  <c r="I114" i="9"/>
  <c r="H114" i="9"/>
  <c r="E183" i="9"/>
  <c r="F51" i="9"/>
  <c r="F179" i="9"/>
  <c r="F181" i="9"/>
  <c r="F158" i="9"/>
  <c r="F102" i="9"/>
  <c r="F106" i="9"/>
  <c r="F69" i="9"/>
  <c r="F3" i="9"/>
  <c r="F5" i="9"/>
  <c r="F86" i="9"/>
  <c r="F83" i="9"/>
  <c r="F91" i="9"/>
  <c r="F90" i="9"/>
  <c r="F92" i="9"/>
  <c r="F111" i="9"/>
  <c r="F12" i="9"/>
  <c r="F14" i="9"/>
  <c r="F13" i="9"/>
  <c r="F93" i="9"/>
  <c r="F94" i="9"/>
  <c r="F95" i="9"/>
  <c r="F98" i="9"/>
  <c r="F96" i="9"/>
  <c r="I202" i="9"/>
  <c r="E202" i="9"/>
  <c r="H202" i="9" s="1"/>
  <c r="I201" i="9"/>
  <c r="E201" i="9"/>
  <c r="H201" i="9" s="1"/>
  <c r="I200" i="9"/>
  <c r="E200" i="9"/>
  <c r="H200" i="9" s="1"/>
  <c r="K200" i="9" s="1"/>
  <c r="E199" i="9"/>
  <c r="F15" i="9"/>
  <c r="E7" i="9"/>
  <c r="E146" i="9"/>
  <c r="E141" i="9"/>
  <c r="E167" i="9"/>
  <c r="I100" i="9"/>
  <c r="D9" i="10" s="1"/>
  <c r="G27" i="10" l="1"/>
  <c r="H27" i="10"/>
  <c r="K202" i="9"/>
  <c r="K201" i="9"/>
  <c r="K114" i="9"/>
  <c r="F27" i="10"/>
  <c r="I58" i="9" l="1"/>
  <c r="H58" i="9"/>
  <c r="K58" i="9" s="1"/>
  <c r="I59" i="9"/>
  <c r="I60" i="9"/>
  <c r="H60" i="9"/>
  <c r="I57" i="9"/>
  <c r="H57" i="9"/>
  <c r="I54" i="9"/>
  <c r="H54" i="9"/>
  <c r="I179" i="9"/>
  <c r="H179" i="9"/>
  <c r="I181" i="9"/>
  <c r="I183" i="9"/>
  <c r="H183" i="9"/>
  <c r="K183" i="9" s="1"/>
  <c r="I177" i="9"/>
  <c r="H177" i="9"/>
  <c r="I182" i="9"/>
  <c r="I185" i="9"/>
  <c r="H185" i="9"/>
  <c r="I178" i="9"/>
  <c r="H178" i="9"/>
  <c r="I180" i="9"/>
  <c r="H180" i="9"/>
  <c r="I184" i="9"/>
  <c r="H184" i="9"/>
  <c r="I43" i="9"/>
  <c r="I50" i="9"/>
  <c r="H50" i="9"/>
  <c r="I165" i="9"/>
  <c r="H165" i="9"/>
  <c r="I158" i="9"/>
  <c r="H158" i="9"/>
  <c r="K158" i="9" s="1"/>
  <c r="I157" i="9"/>
  <c r="H157" i="9"/>
  <c r="K157" i="9" s="1"/>
  <c r="I155" i="9"/>
  <c r="H155" i="9"/>
  <c r="I156" i="9"/>
  <c r="H156" i="9"/>
  <c r="I47" i="9"/>
  <c r="H47" i="9"/>
  <c r="I121" i="9"/>
  <c r="I41" i="9"/>
  <c r="H42" i="9"/>
  <c r="I199" i="9"/>
  <c r="H199" i="9"/>
  <c r="I190" i="9"/>
  <c r="I189" i="9"/>
  <c r="H189" i="9"/>
  <c r="I33" i="9"/>
  <c r="H33" i="9"/>
  <c r="I28" i="9"/>
  <c r="H28" i="9"/>
  <c r="K28" i="9" s="1"/>
  <c r="I39" i="9"/>
  <c r="H34" i="9"/>
  <c r="I35" i="9"/>
  <c r="H35" i="9"/>
  <c r="I36" i="9"/>
  <c r="I25" i="9"/>
  <c r="H25" i="9"/>
  <c r="I30" i="9"/>
  <c r="H30" i="9"/>
  <c r="I26" i="9"/>
  <c r="H26" i="9"/>
  <c r="I38" i="9"/>
  <c r="I29" i="9"/>
  <c r="H29" i="9"/>
  <c r="I32" i="9"/>
  <c r="H32" i="9"/>
  <c r="I37" i="9"/>
  <c r="H37" i="9"/>
  <c r="I40" i="9"/>
  <c r="H40" i="9"/>
  <c r="K40" i="9" s="1"/>
  <c r="I27" i="9"/>
  <c r="H27" i="9"/>
  <c r="K27" i="9" s="1"/>
  <c r="I31" i="9"/>
  <c r="H31" i="9"/>
  <c r="I11" i="9"/>
  <c r="I8" i="9"/>
  <c r="H8" i="9"/>
  <c r="I18" i="9"/>
  <c r="H18" i="9"/>
  <c r="I10" i="9"/>
  <c r="H10" i="9"/>
  <c r="I9" i="9"/>
  <c r="H9" i="9"/>
  <c r="I7" i="9"/>
  <c r="H7" i="9"/>
  <c r="I123" i="9"/>
  <c r="H123" i="9"/>
  <c r="I118" i="9"/>
  <c r="H118" i="9"/>
  <c r="I120" i="9"/>
  <c r="H120" i="9"/>
  <c r="I115" i="9"/>
  <c r="H115" i="9"/>
  <c r="I113" i="9"/>
  <c r="H113" i="9"/>
  <c r="I112" i="9"/>
  <c r="H112" i="9"/>
  <c r="I198" i="9"/>
  <c r="H198" i="9"/>
  <c r="I197" i="9"/>
  <c r="H197" i="9"/>
  <c r="I196" i="9"/>
  <c r="H196" i="9"/>
  <c r="I195" i="9"/>
  <c r="H195" i="9"/>
  <c r="I194" i="9"/>
  <c r="H194" i="9"/>
  <c r="H191" i="9"/>
  <c r="I188" i="9"/>
  <c r="D18" i="10" s="1"/>
  <c r="H188" i="9"/>
  <c r="I154" i="9"/>
  <c r="H154" i="9"/>
  <c r="K154" i="9" s="1"/>
  <c r="I151" i="9"/>
  <c r="D7" i="10" s="1"/>
  <c r="H151" i="9"/>
  <c r="I146" i="9"/>
  <c r="H146" i="9"/>
  <c r="I145" i="9"/>
  <c r="I144" i="9"/>
  <c r="I143" i="9"/>
  <c r="I142" i="9"/>
  <c r="I141" i="9"/>
  <c r="H141" i="9"/>
  <c r="K141" i="9" s="1"/>
  <c r="I140" i="9"/>
  <c r="I139" i="9"/>
  <c r="H139" i="9"/>
  <c r="I130" i="9"/>
  <c r="I193" i="9"/>
  <c r="D8" i="10" s="1"/>
  <c r="H193" i="9"/>
  <c r="I167" i="9"/>
  <c r="H167" i="9"/>
  <c r="I169" i="9"/>
  <c r="I171" i="9"/>
  <c r="I173" i="9"/>
  <c r="I172" i="9"/>
  <c r="I170" i="9"/>
  <c r="H170" i="9"/>
  <c r="I168" i="9"/>
  <c r="H168" i="9"/>
  <c r="I126" i="9"/>
  <c r="D11" i="10" s="1"/>
  <c r="H126" i="9"/>
  <c r="I101" i="9"/>
  <c r="D12" i="10" s="1"/>
  <c r="H101" i="9"/>
  <c r="H100" i="9"/>
  <c r="I61" i="9"/>
  <c r="D21" i="10" s="1"/>
  <c r="H61" i="9"/>
  <c r="I84" i="9"/>
  <c r="I88" i="9"/>
  <c r="I89" i="9"/>
  <c r="H89" i="9"/>
  <c r="K89" i="9" s="1"/>
  <c r="I87" i="9"/>
  <c r="I85" i="9"/>
  <c r="H85" i="9"/>
  <c r="I6" i="9"/>
  <c r="H6" i="9"/>
  <c r="K6" i="9" s="1"/>
  <c r="I2" i="9"/>
  <c r="H2" i="9"/>
  <c r="I78" i="9"/>
  <c r="I215" i="9"/>
  <c r="I214" i="9"/>
  <c r="H214" i="9"/>
  <c r="I213" i="9"/>
  <c r="H213" i="9"/>
  <c r="I210" i="9"/>
  <c r="H210" i="9"/>
  <c r="K210" i="9" s="1"/>
  <c r="I212" i="9"/>
  <c r="I211" i="9"/>
  <c r="H211" i="9"/>
  <c r="I209" i="9"/>
  <c r="H209" i="9"/>
  <c r="K209" i="9" s="1"/>
  <c r="I207" i="9"/>
  <c r="D2" i="10" s="1"/>
  <c r="H207" i="9"/>
  <c r="C2" i="10" s="1"/>
  <c r="I72" i="9"/>
  <c r="H72" i="9"/>
  <c r="K72" i="9" s="1"/>
  <c r="I73" i="9"/>
  <c r="H73" i="9"/>
  <c r="I75" i="9"/>
  <c r="I77" i="9"/>
  <c r="H71" i="9"/>
  <c r="I74" i="9"/>
  <c r="H74" i="9"/>
  <c r="I70" i="9"/>
  <c r="H70" i="9"/>
  <c r="I76" i="9"/>
  <c r="I66" i="9"/>
  <c r="I67" i="9"/>
  <c r="H67" i="9"/>
  <c r="I63" i="9"/>
  <c r="H63" i="9"/>
  <c r="I64" i="9"/>
  <c r="H64" i="9"/>
  <c r="I68" i="9"/>
  <c r="H68" i="9"/>
  <c r="I110" i="9"/>
  <c r="H110" i="9"/>
  <c r="K110" i="9" s="1"/>
  <c r="I109" i="9"/>
  <c r="H109" i="9"/>
  <c r="I108" i="9"/>
  <c r="I107" i="9"/>
  <c r="I103" i="9"/>
  <c r="H103" i="9"/>
  <c r="G44" i="9"/>
  <c r="H44" i="9" s="1"/>
  <c r="G51" i="9"/>
  <c r="I51" i="9" s="1"/>
  <c r="G164" i="9"/>
  <c r="I164" i="9" s="1"/>
  <c r="G159" i="9"/>
  <c r="I159" i="9" s="1"/>
  <c r="G48" i="9"/>
  <c r="I48" i="9" s="1"/>
  <c r="G122" i="9"/>
  <c r="H122" i="9" s="1"/>
  <c r="G93" i="9"/>
  <c r="G96" i="9"/>
  <c r="I96" i="9" s="1"/>
  <c r="G15" i="9"/>
  <c r="I15" i="9" s="1"/>
  <c r="G16" i="9"/>
  <c r="I16" i="9" s="1"/>
  <c r="G17" i="9"/>
  <c r="I17" i="9" s="1"/>
  <c r="G13" i="9"/>
  <c r="G14" i="9"/>
  <c r="G119" i="9"/>
  <c r="H119" i="9" s="1"/>
  <c r="G80" i="9"/>
  <c r="H80" i="9" s="1"/>
  <c r="G79" i="9"/>
  <c r="H79" i="9" s="1"/>
  <c r="F99" i="9"/>
  <c r="I99" i="9" s="1"/>
  <c r="F117" i="9"/>
  <c r="I117" i="9" s="1"/>
  <c r="F116" i="9"/>
  <c r="I116" i="9" s="1"/>
  <c r="I92" i="9"/>
  <c r="I90" i="9"/>
  <c r="I91" i="9"/>
  <c r="I86" i="9"/>
  <c r="I5" i="9"/>
  <c r="G3" i="9"/>
  <c r="G69" i="9"/>
  <c r="G106" i="9"/>
  <c r="I106" i="9" s="1"/>
  <c r="G102" i="9"/>
  <c r="I102" i="9" s="1"/>
  <c r="I98" i="9"/>
  <c r="F122" i="9"/>
  <c r="F42" i="9"/>
  <c r="I42" i="9" s="1"/>
  <c r="I95" i="9"/>
  <c r="I94" i="9"/>
  <c r="I12" i="9"/>
  <c r="F124" i="9"/>
  <c r="I124" i="9" s="1"/>
  <c r="I111" i="9"/>
  <c r="I83" i="9"/>
  <c r="G138" i="9"/>
  <c r="G137" i="9"/>
  <c r="G136" i="9"/>
  <c r="G135" i="9"/>
  <c r="G134" i="9"/>
  <c r="G133" i="9"/>
  <c r="G132" i="9"/>
  <c r="G131" i="9"/>
  <c r="G150" i="9"/>
  <c r="G149" i="9"/>
  <c r="G148" i="9"/>
  <c r="G147" i="9"/>
  <c r="G129" i="9"/>
  <c r="G128" i="9"/>
  <c r="G127" i="9"/>
  <c r="I46" i="9"/>
  <c r="D24" i="10" s="1"/>
  <c r="G62" i="9"/>
  <c r="I62" i="9" s="1"/>
  <c r="D14" i="10" s="1"/>
  <c r="F80" i="9"/>
  <c r="F79" i="9" a="1"/>
  <c r="F79" i="9" s="1"/>
  <c r="F71" i="9" a="1"/>
  <c r="F71" i="9" s="1"/>
  <c r="I71" i="9" s="1"/>
  <c r="F138" i="9"/>
  <c r="F137" i="9"/>
  <c r="F136" i="9"/>
  <c r="F135" i="9"/>
  <c r="F134" i="9"/>
  <c r="F133" i="9"/>
  <c r="F132" i="9"/>
  <c r="F131" i="9"/>
  <c r="F150" i="9"/>
  <c r="F149" i="9"/>
  <c r="F148" i="9"/>
  <c r="F147" i="9"/>
  <c r="F129" i="9"/>
  <c r="F128" i="9"/>
  <c r="F127" i="9"/>
  <c r="E59" i="9"/>
  <c r="H59" i="9" s="1"/>
  <c r="K59" i="9" s="1"/>
  <c r="E181" i="9"/>
  <c r="H181" i="9" s="1"/>
  <c r="K181" i="9" s="1"/>
  <c r="E182" i="9"/>
  <c r="H182" i="9" s="1"/>
  <c r="E99" i="9"/>
  <c r="H99" i="9" s="1"/>
  <c r="E98" i="9"/>
  <c r="H98" i="9" s="1"/>
  <c r="E138" i="9"/>
  <c r="E137" i="9"/>
  <c r="E136" i="9"/>
  <c r="E135" i="9"/>
  <c r="E134" i="9"/>
  <c r="E133" i="9"/>
  <c r="E43" i="9"/>
  <c r="H43" i="9" s="1"/>
  <c r="K43" i="9" s="1"/>
  <c r="E164" i="9"/>
  <c r="E121" i="9"/>
  <c r="H121" i="9" s="1"/>
  <c r="K121" i="9" s="1"/>
  <c r="E41" i="9"/>
  <c r="H41" i="9" s="1"/>
  <c r="E95" i="9"/>
  <c r="H95" i="9" s="1"/>
  <c r="E94" i="9"/>
  <c r="H94" i="9" s="1"/>
  <c r="E93" i="9"/>
  <c r="E190" i="9"/>
  <c r="H190" i="9" s="1"/>
  <c r="E39" i="9"/>
  <c r="H39" i="9" s="1"/>
  <c r="K39" i="9" s="1"/>
  <c r="E36" i="9"/>
  <c r="H36" i="9" s="1"/>
  <c r="E38" i="9"/>
  <c r="H38" i="9" s="1"/>
  <c r="K38" i="9" s="1"/>
  <c r="E13" i="9"/>
  <c r="E14" i="9"/>
  <c r="E12" i="9"/>
  <c r="H12" i="9" s="1"/>
  <c r="E11" i="9"/>
  <c r="H11" i="9" s="1"/>
  <c r="E124" i="9"/>
  <c r="H124" i="9" s="1"/>
  <c r="E117" i="9"/>
  <c r="H117" i="9" s="1"/>
  <c r="E116" i="9"/>
  <c r="H116" i="9" s="1"/>
  <c r="E132" i="9"/>
  <c r="E131" i="9"/>
  <c r="E111" i="9"/>
  <c r="H111" i="9" s="1"/>
  <c r="K111" i="9" s="1"/>
  <c r="E150" i="9"/>
  <c r="E149" i="9"/>
  <c r="E148" i="9"/>
  <c r="E147" i="9"/>
  <c r="E145" i="9"/>
  <c r="H145" i="9" s="1"/>
  <c r="K145" i="9" s="1"/>
  <c r="E144" i="9"/>
  <c r="H144" i="9" s="1"/>
  <c r="K144" i="9" s="1"/>
  <c r="E143" i="9"/>
  <c r="H143" i="9" s="1"/>
  <c r="K143" i="9" s="1"/>
  <c r="E142" i="9"/>
  <c r="H142" i="9" s="1"/>
  <c r="K142" i="9" s="1"/>
  <c r="E140" i="9"/>
  <c r="H140" i="9" s="1"/>
  <c r="K140" i="9" s="1"/>
  <c r="E130" i="9"/>
  <c r="H130" i="9" s="1"/>
  <c r="K130" i="9" s="1"/>
  <c r="E169" i="9"/>
  <c r="H169" i="9" s="1"/>
  <c r="E171" i="9"/>
  <c r="H171" i="9" s="1"/>
  <c r="E173" i="9"/>
  <c r="H173" i="9" s="1"/>
  <c r="E172" i="9"/>
  <c r="H172" i="9" s="1"/>
  <c r="E92" i="9"/>
  <c r="H92" i="9" s="1"/>
  <c r="E90" i="9"/>
  <c r="H90" i="9" s="1"/>
  <c r="E91" i="9"/>
  <c r="H91" i="9" s="1"/>
  <c r="E129" i="9"/>
  <c r="E84" i="9"/>
  <c r="H84" i="9" s="1"/>
  <c r="K84" i="9" s="1"/>
  <c r="E83" i="9"/>
  <c r="H83" i="9" s="1"/>
  <c r="E86" i="9"/>
  <c r="H86" i="9" s="1"/>
  <c r="E88" i="9"/>
  <c r="H88" i="9" s="1"/>
  <c r="E87" i="9"/>
  <c r="H87" i="9" s="1"/>
  <c r="E5" i="9"/>
  <c r="H5" i="9" s="1"/>
  <c r="E3" i="9"/>
  <c r="E78" i="9"/>
  <c r="H78" i="9" s="1"/>
  <c r="E75" i="9"/>
  <c r="H75" i="9" s="1"/>
  <c r="E215" i="9"/>
  <c r="H215" i="9" s="1"/>
  <c r="K215" i="9" s="1"/>
  <c r="E212" i="9"/>
  <c r="H212" i="9" s="1"/>
  <c r="E77" i="9"/>
  <c r="H77" i="9" s="1"/>
  <c r="K77" i="9" s="1"/>
  <c r="E76" i="9"/>
  <c r="H76" i="9" s="1"/>
  <c r="E69" i="9"/>
  <c r="E66" i="9"/>
  <c r="H66" i="9" s="1"/>
  <c r="E106" i="9"/>
  <c r="E108" i="9"/>
  <c r="H108" i="9" s="1"/>
  <c r="E107" i="9"/>
  <c r="H107" i="9" s="1"/>
  <c r="E128" i="9"/>
  <c r="E127" i="9"/>
  <c r="E102" i="9"/>
  <c r="K211" i="9" l="1"/>
  <c r="K107" i="9"/>
  <c r="K37" i="9"/>
  <c r="K33" i="9"/>
  <c r="K47" i="9"/>
  <c r="K60" i="9"/>
  <c r="K165" i="9"/>
  <c r="K198" i="9"/>
  <c r="K178" i="9"/>
  <c r="K179" i="9"/>
  <c r="K118" i="9"/>
  <c r="K36" i="9"/>
  <c r="K212" i="9"/>
  <c r="K92" i="9"/>
  <c r="K88" i="9"/>
  <c r="K99" i="9"/>
  <c r="K91" i="9"/>
  <c r="K90" i="9"/>
  <c r="K172" i="9"/>
  <c r="K171" i="9"/>
  <c r="K73" i="9"/>
  <c r="K139" i="9"/>
  <c r="K195" i="9"/>
  <c r="K113" i="9"/>
  <c r="K7" i="9"/>
  <c r="D22" i="10"/>
  <c r="K57" i="9"/>
  <c r="K199" i="9"/>
  <c r="K87" i="9"/>
  <c r="K41" i="9"/>
  <c r="K109" i="9"/>
  <c r="K67" i="9"/>
  <c r="K2" i="9"/>
  <c r="K170" i="9"/>
  <c r="K146" i="9"/>
  <c r="D10" i="10"/>
  <c r="K177" i="9"/>
  <c r="K196" i="9"/>
  <c r="K115" i="9"/>
  <c r="K9" i="9"/>
  <c r="K167" i="9"/>
  <c r="K18" i="9"/>
  <c r="K169" i="9"/>
  <c r="K31" i="9"/>
  <c r="K29" i="9"/>
  <c r="K35" i="9"/>
  <c r="K155" i="9"/>
  <c r="K184" i="9"/>
  <c r="K5" i="9"/>
  <c r="K11" i="9"/>
  <c r="K95" i="9"/>
  <c r="K66" i="9"/>
  <c r="K173" i="9"/>
  <c r="K12" i="9"/>
  <c r="K30" i="9"/>
  <c r="K32" i="9"/>
  <c r="K189" i="9"/>
  <c r="K156" i="9"/>
  <c r="K50" i="9"/>
  <c r="K83" i="9"/>
  <c r="C7" i="10"/>
  <c r="E7" i="10" s="1"/>
  <c r="K151" i="9"/>
  <c r="C21" i="10"/>
  <c r="E21" i="10" s="1"/>
  <c r="K61" i="9"/>
  <c r="K75" i="9"/>
  <c r="K116" i="9"/>
  <c r="C22" i="10"/>
  <c r="K190" i="9"/>
  <c r="K78" i="9"/>
  <c r="K117" i="9"/>
  <c r="C9" i="10"/>
  <c r="E9" i="10" s="1"/>
  <c r="K100" i="9"/>
  <c r="K108" i="9"/>
  <c r="C23" i="10"/>
  <c r="K124" i="9"/>
  <c r="K94" i="9"/>
  <c r="K68" i="9"/>
  <c r="K70" i="9"/>
  <c r="K213" i="9"/>
  <c r="K85" i="9"/>
  <c r="C12" i="10"/>
  <c r="E12" i="10" s="1"/>
  <c r="K101" i="9"/>
  <c r="K197" i="9"/>
  <c r="K120" i="9"/>
  <c r="K10" i="9"/>
  <c r="K26" i="9"/>
  <c r="K42" i="9"/>
  <c r="K180" i="9"/>
  <c r="K207" i="9"/>
  <c r="K98" i="9"/>
  <c r="K103" i="9"/>
  <c r="K64" i="9"/>
  <c r="K74" i="9"/>
  <c r="K214" i="9"/>
  <c r="C11" i="10"/>
  <c r="E11" i="10" s="1"/>
  <c r="K126" i="9"/>
  <c r="C18" i="10"/>
  <c r="E18" i="10" s="1"/>
  <c r="K188" i="9"/>
  <c r="K76" i="9"/>
  <c r="K86" i="9"/>
  <c r="K182" i="9"/>
  <c r="K63" i="9"/>
  <c r="K71" i="9"/>
  <c r="K168" i="9"/>
  <c r="C8" i="10"/>
  <c r="K193" i="9"/>
  <c r="C25" i="10"/>
  <c r="E25" i="10" s="1"/>
  <c r="K191" i="9"/>
  <c r="K194" i="9"/>
  <c r="K112" i="9"/>
  <c r="K123" i="9"/>
  <c r="K8" i="9"/>
  <c r="K25" i="9"/>
  <c r="K185" i="9"/>
  <c r="K54" i="9"/>
  <c r="D15" i="10"/>
  <c r="D6" i="10"/>
  <c r="D23" i="10"/>
  <c r="D16" i="10"/>
  <c r="D4" i="10"/>
  <c r="D17" i="10"/>
  <c r="H3" i="9"/>
  <c r="H164" i="9"/>
  <c r="K164" i="9" s="1"/>
  <c r="H102" i="9"/>
  <c r="K102" i="9" s="1"/>
  <c r="I14" i="9"/>
  <c r="H14" i="9"/>
  <c r="I13" i="9"/>
  <c r="I119" i="9"/>
  <c r="K119" i="9" s="1"/>
  <c r="C6" i="10"/>
  <c r="C15" i="10"/>
  <c r="I79" i="9"/>
  <c r="K79" i="9" s="1"/>
  <c r="I80" i="9"/>
  <c r="K80" i="9" s="1"/>
  <c r="H159" i="9"/>
  <c r="K159" i="9" s="1"/>
  <c r="H106" i="9"/>
  <c r="H62" i="9"/>
  <c r="H48" i="9"/>
  <c r="K48" i="9" s="1"/>
  <c r="I93" i="9"/>
  <c r="I3" i="9"/>
  <c r="H16" i="9"/>
  <c r="K16" i="9" s="1"/>
  <c r="H96" i="9"/>
  <c r="K96" i="9" s="1"/>
  <c r="H13" i="9"/>
  <c r="I69" i="9"/>
  <c r="H137" i="9"/>
  <c r="H46" i="9"/>
  <c r="H17" i="9"/>
  <c r="K17" i="9" s="1"/>
  <c r="I44" i="9"/>
  <c r="K44" i="9" s="1"/>
  <c r="I128" i="9"/>
  <c r="I135" i="9"/>
  <c r="I150" i="9"/>
  <c r="I122" i="9"/>
  <c r="K122" i="9" s="1"/>
  <c r="C16" i="10"/>
  <c r="H15" i="9"/>
  <c r="K15" i="9" s="1"/>
  <c r="H51" i="9"/>
  <c r="K51" i="9" s="1"/>
  <c r="C10" i="10"/>
  <c r="I133" i="9"/>
  <c r="H131" i="9"/>
  <c r="H133" i="9"/>
  <c r="H93" i="9"/>
  <c r="H132" i="9"/>
  <c r="H69" i="9"/>
  <c r="I129" i="9"/>
  <c r="I147" i="9"/>
  <c r="I149" i="9"/>
  <c r="H127" i="9"/>
  <c r="H129" i="9"/>
  <c r="H134" i="9"/>
  <c r="H150" i="9"/>
  <c r="I136" i="9"/>
  <c r="I148" i="9"/>
  <c r="I138" i="9"/>
  <c r="H128" i="9"/>
  <c r="H135" i="9"/>
  <c r="I127" i="9"/>
  <c r="I134" i="9"/>
  <c r="I137" i="9"/>
  <c r="H138" i="9"/>
  <c r="I131" i="9"/>
  <c r="H147" i="9"/>
  <c r="K147" i="9" s="1"/>
  <c r="H148" i="9"/>
  <c r="K148" i="9" s="1"/>
  <c r="I132" i="9"/>
  <c r="H149" i="9"/>
  <c r="H136" i="9"/>
  <c r="F34" i="9"/>
  <c r="I34" i="9" s="1"/>
  <c r="K34" i="9" s="1"/>
  <c r="E10" i="10" l="1"/>
  <c r="C4" i="10"/>
  <c r="E4" i="10" s="1"/>
  <c r="K132" i="9"/>
  <c r="K14" i="9"/>
  <c r="E22" i="10"/>
  <c r="E8" i="10"/>
  <c r="E2" i="10"/>
  <c r="K138" i="9"/>
  <c r="K129" i="9"/>
  <c r="K69" i="9"/>
  <c r="K93" i="9"/>
  <c r="K134" i="9"/>
  <c r="K133" i="9"/>
  <c r="E23" i="10"/>
  <c r="E15" i="10"/>
  <c r="K13" i="9"/>
  <c r="K3" i="9"/>
  <c r="K127" i="9"/>
  <c r="C14" i="10"/>
  <c r="E14" i="10" s="1"/>
  <c r="K62" i="9"/>
  <c r="C24" i="10"/>
  <c r="E24" i="10" s="1"/>
  <c r="K46" i="9"/>
  <c r="C13" i="10"/>
  <c r="K106" i="9"/>
  <c r="K150" i="9"/>
  <c r="K136" i="9"/>
  <c r="K135" i="9"/>
  <c r="K137" i="9"/>
  <c r="K131" i="9"/>
  <c r="K149" i="9"/>
  <c r="K128" i="9"/>
  <c r="E6" i="10"/>
  <c r="E16" i="10"/>
  <c r="C19" i="10"/>
  <c r="D13" i="10"/>
  <c r="D5" i="10"/>
  <c r="C17" i="10"/>
  <c r="E17" i="10" s="1"/>
  <c r="D19" i="10"/>
  <c r="D3" i="10"/>
  <c r="D20" i="10"/>
  <c r="C5" i="10"/>
  <c r="C20" i="10"/>
  <c r="E13" i="10" l="1"/>
  <c r="E19" i="10"/>
  <c r="E20" i="10"/>
  <c r="E5" i="10"/>
  <c r="E3" i="10"/>
  <c r="D27" i="10"/>
  <c r="D28" i="10" s="1"/>
  <c r="C27" i="10"/>
  <c r="C31" i="10" l="1"/>
  <c r="C28" i="10"/>
  <c r="C30" i="10"/>
  <c r="C33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<sst xmlns="http://schemas.openxmlformats.org/spreadsheetml/2006/main" count="691" uniqueCount="378">
  <si>
    <t>Rainbird</t>
  </si>
  <si>
    <t>Woonkamer</t>
  </si>
  <si>
    <t>Badkamer</t>
  </si>
  <si>
    <t>Groep</t>
  </si>
  <si>
    <t>Omschrijving</t>
  </si>
  <si>
    <t>Wasmachine</t>
  </si>
  <si>
    <t>Verlichting + overloop, zolder (2e verdieping), garage, stofzuiger</t>
  </si>
  <si>
    <t>Magnetron keuken</t>
  </si>
  <si>
    <t>Wasdroger</t>
  </si>
  <si>
    <t>Stoomoven</t>
  </si>
  <si>
    <t>Boiler keuken</t>
  </si>
  <si>
    <t>Vaatwasser keuken</t>
  </si>
  <si>
    <t>Screens begane grond</t>
  </si>
  <si>
    <t>Warmtepomp binnenunit</t>
  </si>
  <si>
    <t>Voedingen t.b.v. tuinverlichting voor- en achterzijde</t>
  </si>
  <si>
    <t>Verlichting + WCD's woonkamer, koelkast, vriezer, wcd keukenblad</t>
  </si>
  <si>
    <t>Kelderpomp</t>
  </si>
  <si>
    <t>Fornuis kookeiland keuken</t>
  </si>
  <si>
    <t>Dali/KNX</t>
  </si>
  <si>
    <t>Deurbel + WCD's meterkast</t>
  </si>
  <si>
    <t>Warmtepomp buitenunit (hierop is kWh meter aangesloten)</t>
  </si>
  <si>
    <t>kWh/jaar</t>
  </si>
  <si>
    <t>TV in kelder</t>
  </si>
  <si>
    <t>Siemens router</t>
  </si>
  <si>
    <t>Siemens bedieningsunit</t>
  </si>
  <si>
    <t>Walltherm besturing</t>
  </si>
  <si>
    <t>Terras camera (AI 360)</t>
  </si>
  <si>
    <t>Ubiquiti switch USW-24-G2</t>
  </si>
  <si>
    <t>Zijkant huis camera (G4 Pro)</t>
  </si>
  <si>
    <t>Carport camera</t>
  </si>
  <si>
    <t>Voorkant huis camera (G4 Pro)</t>
  </si>
  <si>
    <t>TV Woonkamer</t>
  </si>
  <si>
    <t>Switch US 8 60W Garage</t>
  </si>
  <si>
    <t>Youless EV-lader</t>
  </si>
  <si>
    <t>Verlichting + wcd's badkamers, slaapkamers Jochem/ouders</t>
  </si>
  <si>
    <t>Verlichting + wcd's slaapkamer Wouter</t>
  </si>
  <si>
    <t>Vijverpomp</t>
  </si>
  <si>
    <t>Warmtepomp buitenunit</t>
  </si>
  <si>
    <t>UDM Pro</t>
  </si>
  <si>
    <t>POE24V AC-LR Woonkamer</t>
  </si>
  <si>
    <t>TFA router</t>
  </si>
  <si>
    <t>Verlichting + WCD's speelruimte, TR, wijnkelder, portaal (kelder), hal/entree (bgg)</t>
  </si>
  <si>
    <t>Technische Ruimte</t>
  </si>
  <si>
    <t>Wijnkelder</t>
  </si>
  <si>
    <t>Kantoor</t>
  </si>
  <si>
    <t>Bijkeuken</t>
  </si>
  <si>
    <t>Keuken</t>
  </si>
  <si>
    <t>Slaapkamer Jochem</t>
  </si>
  <si>
    <t>Slaapkamer Wouter</t>
  </si>
  <si>
    <t>Slaapkamer Ouders</t>
  </si>
  <si>
    <t>Meterkast</t>
  </si>
  <si>
    <t>Badkamer/WC</t>
  </si>
  <si>
    <t>Tuin</t>
  </si>
  <si>
    <t>Terras</t>
  </si>
  <si>
    <t>KA 1.1-4</t>
  </si>
  <si>
    <t>KA 2.1-4</t>
  </si>
  <si>
    <t>Monitor laptop Johan</t>
  </si>
  <si>
    <t>Power supply laptop Johan</t>
  </si>
  <si>
    <t>Power supply laptop Corrie</t>
  </si>
  <si>
    <t>Canon printer</t>
  </si>
  <si>
    <t>WK 1.2-3</t>
  </si>
  <si>
    <t>WK 2.1-2</t>
  </si>
  <si>
    <t>WK 3.1-2</t>
  </si>
  <si>
    <t>WK 4.1-2</t>
  </si>
  <si>
    <t>(Dali) staande lamp</t>
  </si>
  <si>
    <t>Staande lamp</t>
  </si>
  <si>
    <t>Telefoonlader</t>
  </si>
  <si>
    <t>Aeros sensor</t>
  </si>
  <si>
    <t>(Dali) 2x spot</t>
  </si>
  <si>
    <t>(Dali) 4x wandlamp</t>
  </si>
  <si>
    <t>Verlichting + wcd's kantoor, terras, garage, carport, woonkamer (alleen spots), keuken (alleen spots)</t>
  </si>
  <si>
    <t>KE 1.1-2</t>
  </si>
  <si>
    <t>KE 2.1-2</t>
  </si>
  <si>
    <t>KE 3.1-2</t>
  </si>
  <si>
    <t>KE 4.1-2</t>
  </si>
  <si>
    <t>Koffiezetapparaat</t>
  </si>
  <si>
    <t>Nespresso apparaat</t>
  </si>
  <si>
    <t>USB lader</t>
  </si>
  <si>
    <t>Stoomoven keuken</t>
  </si>
  <si>
    <t>TE 1.1-2</t>
  </si>
  <si>
    <t>TE 2.1-2</t>
  </si>
  <si>
    <t>TE 3.1-2</t>
  </si>
  <si>
    <t>(Dali) 4x spot bij bijkeuken deur</t>
  </si>
  <si>
    <t>(Dali) 3x lamp</t>
  </si>
  <si>
    <t xml:space="preserve">(Dali) 4x spot  </t>
  </si>
  <si>
    <t>WTW unit</t>
  </si>
  <si>
    <t>BK 1.1-2</t>
  </si>
  <si>
    <t>Pre-heater</t>
  </si>
  <si>
    <t>overlooppomp</t>
  </si>
  <si>
    <t>TU 1.1-4</t>
  </si>
  <si>
    <t>TU 2.1-2</t>
  </si>
  <si>
    <t>TU 3.1</t>
  </si>
  <si>
    <t>TU 4.1-2</t>
  </si>
  <si>
    <t>TU 5.1-2</t>
  </si>
  <si>
    <t>TU 6.1-2</t>
  </si>
  <si>
    <t>UV-lamp</t>
  </si>
  <si>
    <t>Gras maairobot</t>
  </si>
  <si>
    <t>Lamp Pergola</t>
  </si>
  <si>
    <t>Tuinhuis</t>
  </si>
  <si>
    <t>TH 1.1-2</t>
  </si>
  <si>
    <t>Makita batterijen lader</t>
  </si>
  <si>
    <t>GA 1.1-2</t>
  </si>
  <si>
    <t>GA 2.1-4</t>
  </si>
  <si>
    <t>G2</t>
  </si>
  <si>
    <t>Deuropener garage</t>
  </si>
  <si>
    <t>GA 3.1-2</t>
  </si>
  <si>
    <t>GA 4.1</t>
  </si>
  <si>
    <t>Stofzuiger</t>
  </si>
  <si>
    <t>GA 5.1</t>
  </si>
  <si>
    <t>Heftakel</t>
  </si>
  <si>
    <t>GA 6.1</t>
  </si>
  <si>
    <t>G1</t>
  </si>
  <si>
    <t>G3</t>
  </si>
  <si>
    <t>GA 7.1-2</t>
  </si>
  <si>
    <t>Grondpomp</t>
  </si>
  <si>
    <t>Dubbele TL-balk boven</t>
  </si>
  <si>
    <t>2x Dubbele TL-balk boven</t>
  </si>
  <si>
    <t>2x Dubbele TL-balk beneden</t>
  </si>
  <si>
    <t>PIR sensor</t>
  </si>
  <si>
    <t>4x spot Pergola</t>
  </si>
  <si>
    <t>3x spot op bomen voor</t>
  </si>
  <si>
    <t>1x spot op struik voor</t>
  </si>
  <si>
    <t>2x spot op struiken/bomen achter</t>
  </si>
  <si>
    <t>2x spot bij de voordeur</t>
  </si>
  <si>
    <t>PV panelen garage</t>
  </si>
  <si>
    <t>PV panelen huis</t>
  </si>
  <si>
    <t>EV laadpaal</t>
  </si>
  <si>
    <t>MK 1.1-4</t>
  </si>
  <si>
    <t>Vochtigheidssensor Siemens</t>
  </si>
  <si>
    <t>Glasvezelmodem</t>
  </si>
  <si>
    <t>Youless P1 meter</t>
  </si>
  <si>
    <t>Youless PV-panelen huis</t>
  </si>
  <si>
    <t>12V Voeding voor de tuinverlichting</t>
  </si>
  <si>
    <t>(Dali) lamp 2x boven tafel</t>
  </si>
  <si>
    <t>(Dali) spots 3x langs kast</t>
  </si>
  <si>
    <t>Lamp tuinhuis met ingebouwde sensor</t>
  </si>
  <si>
    <t>Garage</t>
  </si>
  <si>
    <t>Deurbel</t>
  </si>
  <si>
    <t>TR 1.1-2</t>
  </si>
  <si>
    <t>Vuilwaterpomp</t>
  </si>
  <si>
    <t>Afsluiter waterleiding</t>
  </si>
  <si>
    <t>TR 2.1-4</t>
  </si>
  <si>
    <t>RRV 912 - aansturing warmtepomp + VV kelder</t>
  </si>
  <si>
    <t>RRV 918 - VV BG</t>
  </si>
  <si>
    <t>(Dali) spots 3x boven keukenblok</t>
  </si>
  <si>
    <t>(Dali) spots 3x boven middendeel</t>
  </si>
  <si>
    <t>TR 3.1</t>
  </si>
  <si>
    <t>TR 4.1-4</t>
  </si>
  <si>
    <t>Youless hout-CV vergasser</t>
  </si>
  <si>
    <t>Voeding 24V/30W div. besturingskleppen e.d.</t>
  </si>
  <si>
    <t>KNX temperatuursensor</t>
  </si>
  <si>
    <t>RRV934 - aansturing  kleppen</t>
  </si>
  <si>
    <t>TR 5.1-4</t>
  </si>
  <si>
    <t>CV pomp</t>
  </si>
  <si>
    <t>TR 6.1</t>
  </si>
  <si>
    <t>UPS</t>
  </si>
  <si>
    <t>2x Dubbele TL-balk</t>
  </si>
  <si>
    <t>TR 7.1</t>
  </si>
  <si>
    <t>Tapwaterstation</t>
  </si>
  <si>
    <t>TR 8.1</t>
  </si>
  <si>
    <t>Ethernet interface PV-omvormer huis</t>
  </si>
  <si>
    <t>Brand-detectie</t>
  </si>
  <si>
    <t>Brand detectie</t>
  </si>
  <si>
    <t>SK 1.1-2</t>
  </si>
  <si>
    <t>SK 2.1-2</t>
  </si>
  <si>
    <t>SK 3.1</t>
  </si>
  <si>
    <t>SK 4.1</t>
  </si>
  <si>
    <t>SK 5.1-2</t>
  </si>
  <si>
    <t>SK 6.1-2</t>
  </si>
  <si>
    <t>SK 7.1-2</t>
  </si>
  <si>
    <t>TV</t>
  </si>
  <si>
    <t>Versterker</t>
  </si>
  <si>
    <t>Aansturing versterker</t>
  </si>
  <si>
    <t>Verlichting TV-kast</t>
  </si>
  <si>
    <t>(Dali) 4x spot in TV-hoek</t>
  </si>
  <si>
    <t>(Dali) 4x spot boven pooltafel</t>
  </si>
  <si>
    <t>(Dali) 4x spot in keuken-hoek</t>
  </si>
  <si>
    <t>(Dali) 2x lamp buiten/achter ramen</t>
  </si>
  <si>
    <t>2x spot</t>
  </si>
  <si>
    <t>WI 1.1-2</t>
  </si>
  <si>
    <t>SW 1.1-2</t>
  </si>
  <si>
    <t>SW 2.1-2</t>
  </si>
  <si>
    <t>Sonos speaker Badkamer + WC</t>
  </si>
  <si>
    <t>(Dali) 4x spot</t>
  </si>
  <si>
    <t>SJ 1.1-2</t>
  </si>
  <si>
    <t>SJ 2.1-2</t>
  </si>
  <si>
    <t>Leeslampje</t>
  </si>
  <si>
    <t>BA 1.1</t>
  </si>
  <si>
    <t>BA 1.2</t>
  </si>
  <si>
    <t>BA 2.1-2</t>
  </si>
  <si>
    <t>BA 3.1-2</t>
  </si>
  <si>
    <t>BW 1.1-3</t>
  </si>
  <si>
    <t>BW 2.1-3</t>
  </si>
  <si>
    <t>Lader tandenborstel</t>
  </si>
  <si>
    <t>(Dali) 2x spiegellamp</t>
  </si>
  <si>
    <t>(Dali) 1x WC-lamp</t>
  </si>
  <si>
    <t>SO 1.1-3</t>
  </si>
  <si>
    <t>SO 2.1-3</t>
  </si>
  <si>
    <t>SO 3.1-2</t>
  </si>
  <si>
    <t>Leeslamp Corrie</t>
  </si>
  <si>
    <t>Leeslamp Johan</t>
  </si>
  <si>
    <t>Trapkast</t>
  </si>
  <si>
    <t>TK 1.1-2</t>
  </si>
  <si>
    <t>Kastlampje</t>
  </si>
  <si>
    <t>Zolder Overloop</t>
  </si>
  <si>
    <t>Zolder kamer met deur</t>
  </si>
  <si>
    <t>Zolder kamer zonder deur</t>
  </si>
  <si>
    <t>Lamp</t>
  </si>
  <si>
    <t>ZZ 1.1-2</t>
  </si>
  <si>
    <t>ZZ 2.1-2</t>
  </si>
  <si>
    <t>ZM 1.1-2</t>
  </si>
  <si>
    <t>ZM 2.1-2</t>
  </si>
  <si>
    <t>TK 2.1</t>
  </si>
  <si>
    <t>RRV918 VV regelaar verdieping</t>
  </si>
  <si>
    <t>Ruimte</t>
  </si>
  <si>
    <t>Verbruiker</t>
  </si>
  <si>
    <t>Aansluiting</t>
  </si>
  <si>
    <t>Carport</t>
  </si>
  <si>
    <t>UDM POE</t>
  </si>
  <si>
    <t>Buiten Wifi AP (UAP-AC-PRO)</t>
  </si>
  <si>
    <t>12V</t>
  </si>
  <si>
    <t>SW POE</t>
  </si>
  <si>
    <t>Garage UAP-AC-Lite</t>
  </si>
  <si>
    <t>Hal/entree</t>
  </si>
  <si>
    <t>Toilet BG</t>
  </si>
  <si>
    <t>POE24V AC-lite Verdieping</t>
  </si>
  <si>
    <t>POE24V AC-lite Kelder</t>
  </si>
  <si>
    <t>HA router</t>
  </si>
  <si>
    <t>Hal Kelder</t>
  </si>
  <si>
    <t>Speelkamer</t>
  </si>
  <si>
    <t>Toilet Verdieping</t>
  </si>
  <si>
    <t>Verdieping Overloop</t>
  </si>
  <si>
    <t>HA Tablet</t>
  </si>
  <si>
    <t>Sensorbox EV-lader</t>
  </si>
  <si>
    <t>6p switch</t>
  </si>
  <si>
    <t>Luidspreker Links</t>
  </si>
  <si>
    <t>Luidspreker Rechts</t>
  </si>
  <si>
    <t>cos phi (low) - (high)</t>
  </si>
  <si>
    <t>0,02 - 0,87</t>
  </si>
  <si>
    <t>0,1 - 0,35</t>
  </si>
  <si>
    <t>0,17 - 0,43</t>
  </si>
  <si>
    <t>(niet aangesloten; verwarmingselement WP)</t>
  </si>
  <si>
    <t>Werkt (spanning eraf)</t>
  </si>
  <si>
    <t>Werkt, maar niet voor als je putje vol met water laat lopen! Dan vliegt de aardlek eruit</t>
  </si>
  <si>
    <t>spec</t>
  </si>
  <si>
    <t>60% = 140W; 80%=200W; 100% = 320W; 40% = 100W</t>
  </si>
  <si>
    <t># stopcontacten</t>
  </si>
  <si>
    <t># lampen</t>
  </si>
  <si>
    <t>(Dali) lamp boven tafel (2x)</t>
  </si>
  <si>
    <t>(Dali) lamp boven eettafel (6 lampen)</t>
  </si>
  <si>
    <t>WK 1.1 / HR 2.3</t>
  </si>
  <si>
    <t>MK 2.1-2 / HR 2.4</t>
  </si>
  <si>
    <t>HD 1</t>
  </si>
  <si>
    <t>HD 2</t>
  </si>
  <si>
    <t>HS @31</t>
  </si>
  <si>
    <t>HS @32</t>
  </si>
  <si>
    <t>HS @33</t>
  </si>
  <si>
    <t>(Dali) Screen Oost L</t>
  </si>
  <si>
    <t>(Dali) Screen Zuid</t>
  </si>
  <si>
    <t>HS @35</t>
  </si>
  <si>
    <t>(Dali) Screen Oost R</t>
  </si>
  <si>
    <t>HS @36</t>
  </si>
  <si>
    <t>(Dali) Screen zuid</t>
  </si>
  <si>
    <t>(Dali) Screen zuid L</t>
  </si>
  <si>
    <t>(Dali) Screen zuid R</t>
  </si>
  <si>
    <t>HS @37</t>
  </si>
  <si>
    <t>HS @38</t>
  </si>
  <si>
    <t>(Dali) Screen oost L</t>
  </si>
  <si>
    <t>(Dali) Screen oost R</t>
  </si>
  <si>
    <t>HS @39</t>
  </si>
  <si>
    <t>(Dali) Screen west</t>
  </si>
  <si>
    <t>HS @40</t>
  </si>
  <si>
    <t>HS @45</t>
  </si>
  <si>
    <t>HL @14</t>
  </si>
  <si>
    <t>HL@16</t>
  </si>
  <si>
    <t>HL@13</t>
  </si>
  <si>
    <t>HL @11</t>
  </si>
  <si>
    <t>HL @12</t>
  </si>
  <si>
    <t>(Dali) ledstrip boven middendeel</t>
  </si>
  <si>
    <t>HL @1</t>
  </si>
  <si>
    <t>HL @2</t>
  </si>
  <si>
    <t>(Dali) 4x spot raam</t>
  </si>
  <si>
    <t>HL @3</t>
  </si>
  <si>
    <t>HL @7</t>
  </si>
  <si>
    <t>HL @8</t>
  </si>
  <si>
    <t>HL @6</t>
  </si>
  <si>
    <t>HL @9</t>
  </si>
  <si>
    <t>HL @10</t>
  </si>
  <si>
    <t>(Dali) 3x spot</t>
  </si>
  <si>
    <t>(Dali) TL-balk</t>
  </si>
  <si>
    <t>HS @13</t>
  </si>
  <si>
    <t>HS @14</t>
  </si>
  <si>
    <t>HS @15</t>
  </si>
  <si>
    <t>HS @18</t>
  </si>
  <si>
    <t>HS @17</t>
  </si>
  <si>
    <t>(Dali) 2x spot gang</t>
  </si>
  <si>
    <t>HS @19</t>
  </si>
  <si>
    <t>HS @16</t>
  </si>
  <si>
    <t>Voeding Dali tbv Weerstation</t>
  </si>
  <si>
    <t>KNX voeding 30V/320mA</t>
  </si>
  <si>
    <t>Helvar router 910</t>
  </si>
  <si>
    <t>Digidim 455</t>
  </si>
  <si>
    <t>HR 492</t>
  </si>
  <si>
    <t>HL @4</t>
  </si>
  <si>
    <t>HL @5</t>
  </si>
  <si>
    <t>HL @22</t>
  </si>
  <si>
    <t>HL  @34</t>
  </si>
  <si>
    <t>HR 492/1</t>
  </si>
  <si>
    <t>HR 492/2</t>
  </si>
  <si>
    <t>HR 498/1</t>
  </si>
  <si>
    <t>HR 498/3</t>
  </si>
  <si>
    <t>HR 498/4</t>
  </si>
  <si>
    <t>HR 498/5</t>
  </si>
  <si>
    <t>HR 498/6</t>
  </si>
  <si>
    <t>HR 498/7</t>
  </si>
  <si>
    <t>HR 498/8</t>
  </si>
  <si>
    <t>Relay 498 8x relais</t>
  </si>
  <si>
    <t>4x wandlamp</t>
  </si>
  <si>
    <t>HS @41</t>
  </si>
  <si>
    <t>HS @42</t>
  </si>
  <si>
    <t>HS @43</t>
  </si>
  <si>
    <t>HS @44</t>
  </si>
  <si>
    <t>Opmerkingen</t>
  </si>
  <si>
    <t>1=35W; 2=58w; 3=140W</t>
  </si>
  <si>
    <t>GA 8.2</t>
  </si>
  <si>
    <t>GA 8.1</t>
  </si>
  <si>
    <t>Fietslader</t>
  </si>
  <si>
    <t>Beveiliging grondpomp</t>
  </si>
  <si>
    <t>L (watt)</t>
  </si>
  <si>
    <t>N (%)</t>
  </si>
  <si>
    <t>gem. efficiency led driver</t>
  </si>
  <si>
    <t>Energieverbruik appliance die 0W meet</t>
  </si>
  <si>
    <t>S (watt)</t>
  </si>
  <si>
    <t>Energieverbruik screenmotor</t>
  </si>
  <si>
    <t>NT (%)</t>
  </si>
  <si>
    <t>gem. efficiency TL driver</t>
  </si>
  <si>
    <t>Omnik PV omvormer</t>
  </si>
  <si>
    <t>#uren high/dag</t>
  </si>
  <si>
    <t>DS</t>
  </si>
  <si>
    <t>Uren screens motor aan / dag</t>
  </si>
  <si>
    <t>Laag verbruik</t>
  </si>
  <si>
    <t>Hoog verbruik</t>
  </si>
  <si>
    <t>Fase</t>
  </si>
  <si>
    <t>PV-omvormer Solaredge</t>
  </si>
  <si>
    <t>P(rust) kWh</t>
  </si>
  <si>
    <t>kWh / dag</t>
  </si>
  <si>
    <t>W (continue)</t>
  </si>
  <si>
    <t>0,07 - 0,63</t>
  </si>
  <si>
    <t xml:space="preserve">Vaatwasser keuken </t>
  </si>
  <si>
    <t>Vaatwasmachine SMS53N82EU</t>
  </si>
  <si>
    <t xml:space="preserve">Wasmachine Bosch </t>
  </si>
  <si>
    <t>Warmtepompdroger Samsung DV70F5E2HGW (nov 2015)</t>
  </si>
  <si>
    <t>Koelkast/vriezer ICN 336620C</t>
  </si>
  <si>
    <t>Youless warmtepomp binnenunit</t>
  </si>
  <si>
    <t>Koel/vrieskast Samsung RB36T672CWW/EF mrt23</t>
  </si>
  <si>
    <t>(Dali) lamp boven pooltafel (3 lampen)</t>
  </si>
  <si>
    <t>SK 8.1</t>
  </si>
  <si>
    <t>Helvar blinds controller 490</t>
  </si>
  <si>
    <t>Luchtklep kachel + diversen</t>
  </si>
  <si>
    <t>Aansturing Bed Corrie</t>
  </si>
  <si>
    <t>Aansturing Bed Johan</t>
  </si>
  <si>
    <t>P(hoog) kWh</t>
  </si>
  <si>
    <t>Laadpaal Ratio</t>
  </si>
  <si>
    <t>Continue</t>
  </si>
  <si>
    <t>Hoog</t>
  </si>
  <si>
    <t>Totaal verbruik</t>
  </si>
  <si>
    <t>Overig</t>
  </si>
  <si>
    <t>Monitoren</t>
  </si>
  <si>
    <t>Totaal</t>
  </si>
  <si>
    <t># verbruikers</t>
  </si>
  <si>
    <t>UPS / netwerk</t>
  </si>
  <si>
    <t>Wordt gemonitord</t>
  </si>
  <si>
    <t>kWh meter laadpaal</t>
  </si>
  <si>
    <t>kWh meter Omnik</t>
  </si>
  <si>
    <t>kWh meter warmtepomp</t>
  </si>
  <si>
    <t>Shelly kWh meter</t>
  </si>
  <si>
    <t>Verbruik - low</t>
  </si>
  <si>
    <t>Verbruik -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</si>
</sst>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2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1" xfId="0" applyBorder="1"/>
    <xf numFmtId="0" fontId="0" fillId="4" borderId="0" xfId="0" applyFill="1"/>
    <xf numFmtId="0" fontId="0" fillId="4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0" xfId="2" applyFont="1" applyBorder="1"/>
    <xf numFmtId="0" fontId="0" fillId="0" borderId="6" xfId="0" applyBorder="1"/>
    <xf numFmtId="9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Alignment="1">
      <alignment horizontal="left"/>
    </xf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L@13" TargetMode="External"/><Relationship Id="rId1" Type="http://schemas.openxmlformats.org/officeDocument/2006/relationships/hyperlink" Target="mailto:HL@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FF5F-3F2D-BC44-AB56-3DAB971A3FA7}">
  <dimension ref="A1:N236"/>
  <sheetViews>
    <sheetView zoomScale="108" workbookViewId="0">
      <pane xSplit="4" ySplit="1" topLeftCell="E84" activePane="bottomRight" state="frozen"/>
      <selection pane="topRight" activeCell="F1" sqref="F1"/>
      <selection pane="bottomLeft" activeCell="A2" sqref="A2"/>
      <selection pane="bottomRight" activeCell="F96" sqref="F96"/>
    </sheetView>
  </sheetViews>
  <sheetFormatPr baseColWidth="10" defaultRowHeight="16" x14ac:dyDescent="0.2"/>
  <cols>
    <col min="1" max="1" width="10.83203125" style="3"/>
    <col min="2" max="2" width="14.5" style="3" customWidth="1"/>
    <col min="3" max="3" width="18.5" style="2" customWidth="1"/>
    <col min="4" max="4" width="33.5" customWidth="1"/>
    <col min="5" max="5" width="22.5" style="2" customWidth="1"/>
    <col min="6" max="6" width="25.5" style="2" customWidth="1"/>
    <col min="7" max="9" width="16" style="2" customWidth="1"/>
    <col min="10" max="10" width="12.6640625" style="2" hidden="1" customWidth="1"/>
    <col min="11" max="13" width="12.6640625" style="2" customWidth="1"/>
    <col min="14" max="14" width="12.6640625" customWidth="1"/>
  </cols>
  <sheetData>
    <row r="1" spans="1:14" s="1" customFormat="1" x14ac:dyDescent="0.2">
      <c r="A1" s="5" t="s">
        <v>3</v>
      </c>
      <c r="B1" s="5" t="s">
        <v>216</v>
      </c>
      <c r="C1" s="6" t="s">
        <v>214</v>
      </c>
      <c r="D1" s="1" t="s">
        <v>215</v>
      </c>
      <c r="E1" s="6" t="s">
        <v>376</v>
      </c>
      <c r="F1" s="6" t="s">
        <v>377</v>
      </c>
      <c r="G1" s="6" t="s">
        <v>337</v>
      </c>
      <c r="H1" s="6" t="s">
        <v>340</v>
      </c>
      <c r="I1" s="6" t="s">
        <v>341</v>
      </c>
      <c r="J1" s="6" t="s">
        <v>237</v>
      </c>
      <c r="K1" s="6" t="s">
        <v>21</v>
      </c>
      <c r="L1" s="6" t="s">
        <v>247</v>
      </c>
      <c r="M1" s="6" t="s">
        <v>246</v>
      </c>
      <c r="N1" s="1" t="s">
        <v>322</v>
      </c>
    </row>
    <row r="2" spans="1:14" x14ac:dyDescent="0.2">
      <c r="A2" s="3">
        <v>1</v>
      </c>
      <c r="C2" s="2" t="s">
        <v>228</v>
      </c>
      <c r="D2" s="2" t="s">
        <v>162</v>
      </c>
      <c r="E2" s="2">
        <v>3</v>
      </c>
      <c r="H2" s="2">
        <f t="shared" ref="H2:H18" si="0">(24-G2)*E2</f>
        <v>72</v>
      </c>
      <c r="I2" s="2">
        <f>G2*F2</f>
        <v>0</v>
      </c>
      <c r="K2" s="16">
        <f t="shared" ref="K2:K65" si="1">(H2+I2)*365/1000</f>
        <v>26.28</v>
      </c>
      <c r="N2" s="2" t="s">
        <v>244</v>
      </c>
    </row>
    <row r="3" spans="1:14" x14ac:dyDescent="0.2">
      <c r="A3" s="3">
        <v>1</v>
      </c>
      <c r="B3" s="3" t="s">
        <v>273</v>
      </c>
      <c r="C3" s="2" t="s">
        <v>228</v>
      </c>
      <c r="D3" s="2" t="s">
        <v>68</v>
      </c>
      <c r="E3" s="2">
        <f>L_watt</f>
        <v>0.5</v>
      </c>
      <c r="F3" s="2">
        <f>2*6/N</f>
        <v>16</v>
      </c>
      <c r="G3" s="2">
        <f>0.25</f>
        <v>0.25</v>
      </c>
      <c r="H3" s="2">
        <f t="shared" si="0"/>
        <v>11.875</v>
      </c>
      <c r="I3" s="2">
        <f>G3*F3</f>
        <v>4</v>
      </c>
      <c r="K3" s="16">
        <f t="shared" si="1"/>
        <v>5.7943749999999996</v>
      </c>
      <c r="L3" s="2">
        <v>2</v>
      </c>
      <c r="N3" s="2"/>
    </row>
    <row r="4" spans="1:14" x14ac:dyDescent="0.2">
      <c r="A4" s="3">
        <v>1</v>
      </c>
      <c r="C4" s="2" t="s">
        <v>50</v>
      </c>
      <c r="D4" s="2" t="s">
        <v>375</v>
      </c>
      <c r="E4" s="2">
        <f>L_watt</f>
        <v>0.5</v>
      </c>
      <c r="H4" s="2">
        <f t="shared" si="0"/>
        <v>12</v>
      </c>
      <c r="K4" s="16">
        <f t="shared" si="1"/>
        <v>4.38</v>
      </c>
      <c r="N4" s="2"/>
    </row>
    <row r="5" spans="1:14" x14ac:dyDescent="0.2">
      <c r="A5" s="3">
        <v>1</v>
      </c>
      <c r="B5" s="3" t="s">
        <v>296</v>
      </c>
      <c r="C5" s="2" t="s">
        <v>223</v>
      </c>
      <c r="D5" s="2" t="s">
        <v>288</v>
      </c>
      <c r="E5" s="2">
        <f>L_watt</f>
        <v>0.5</v>
      </c>
      <c r="F5" s="2">
        <f>3*6/N</f>
        <v>24</v>
      </c>
      <c r="G5" s="2">
        <v>1</v>
      </c>
      <c r="H5" s="2">
        <f t="shared" si="0"/>
        <v>11.5</v>
      </c>
      <c r="I5" s="2">
        <f t="shared" ref="I5:I18" si="2">G5*F5</f>
        <v>24</v>
      </c>
      <c r="K5" s="16">
        <f t="shared" si="1"/>
        <v>12.9575</v>
      </c>
      <c r="L5" s="2">
        <v>3</v>
      </c>
      <c r="N5" s="2"/>
    </row>
    <row r="6" spans="1:14" x14ac:dyDescent="0.2">
      <c r="A6" s="3">
        <v>1</v>
      </c>
      <c r="B6" s="3" t="s">
        <v>253</v>
      </c>
      <c r="C6" s="2" t="s">
        <v>223</v>
      </c>
      <c r="D6" s="2" t="s">
        <v>83</v>
      </c>
      <c r="E6" s="2">
        <v>0</v>
      </c>
      <c r="F6" s="2">
        <v>27</v>
      </c>
      <c r="G6" s="2">
        <v>1</v>
      </c>
      <c r="H6" s="2">
        <f t="shared" si="0"/>
        <v>0</v>
      </c>
      <c r="I6" s="2">
        <f t="shared" si="2"/>
        <v>27</v>
      </c>
      <c r="K6" s="16">
        <f t="shared" si="1"/>
        <v>9.8550000000000004</v>
      </c>
      <c r="L6" s="2">
        <v>3</v>
      </c>
      <c r="N6" s="2"/>
    </row>
    <row r="7" spans="1:14" x14ac:dyDescent="0.2">
      <c r="A7" s="3">
        <v>1</v>
      </c>
      <c r="B7" s="3" t="s">
        <v>163</v>
      </c>
      <c r="C7" s="2" t="s">
        <v>229</v>
      </c>
      <c r="D7" t="s">
        <v>354</v>
      </c>
      <c r="E7" s="2">
        <f>166*1000/(24*365)</f>
        <v>18.949771689497716</v>
      </c>
      <c r="H7" s="2">
        <f t="shared" si="0"/>
        <v>454.79452054794518</v>
      </c>
      <c r="I7" s="2">
        <f t="shared" si="2"/>
        <v>0</v>
      </c>
      <c r="K7" s="16">
        <f t="shared" si="1"/>
        <v>166</v>
      </c>
      <c r="M7" s="2">
        <v>2</v>
      </c>
    </row>
    <row r="8" spans="1:14" x14ac:dyDescent="0.2">
      <c r="A8" s="3">
        <v>1</v>
      </c>
      <c r="B8" s="3" t="s">
        <v>169</v>
      </c>
      <c r="C8" s="2" t="s">
        <v>229</v>
      </c>
      <c r="D8" t="s">
        <v>171</v>
      </c>
      <c r="E8" s="2">
        <v>0</v>
      </c>
      <c r="F8" s="2">
        <v>170</v>
      </c>
      <c r="G8" s="2">
        <v>0.25</v>
      </c>
      <c r="H8" s="2">
        <f t="shared" si="0"/>
        <v>0</v>
      </c>
      <c r="I8" s="2">
        <f t="shared" si="2"/>
        <v>42.5</v>
      </c>
      <c r="J8" s="2">
        <v>0.85</v>
      </c>
      <c r="K8" s="16">
        <f t="shared" si="1"/>
        <v>15.512499999999999</v>
      </c>
    </row>
    <row r="9" spans="1:14" x14ac:dyDescent="0.2">
      <c r="A9" s="3">
        <v>1</v>
      </c>
      <c r="B9" s="3" t="s">
        <v>169</v>
      </c>
      <c r="C9" s="2" t="s">
        <v>229</v>
      </c>
      <c r="D9" t="s">
        <v>172</v>
      </c>
      <c r="E9" s="2">
        <v>1.6</v>
      </c>
      <c r="F9" s="2">
        <v>3.3</v>
      </c>
      <c r="G9" s="2">
        <v>0.25</v>
      </c>
      <c r="H9" s="2">
        <f t="shared" si="0"/>
        <v>38</v>
      </c>
      <c r="I9" s="2">
        <f t="shared" si="2"/>
        <v>0.82499999999999996</v>
      </c>
      <c r="K9" s="16">
        <f t="shared" si="1"/>
        <v>14.171125000000002</v>
      </c>
      <c r="M9" s="2">
        <v>2</v>
      </c>
    </row>
    <row r="10" spans="1:14" x14ac:dyDescent="0.2">
      <c r="A10" s="3">
        <v>1</v>
      </c>
      <c r="B10" s="3" t="s">
        <v>169</v>
      </c>
      <c r="C10" s="2" t="s">
        <v>229</v>
      </c>
      <c r="D10" t="s">
        <v>22</v>
      </c>
      <c r="E10" s="2">
        <v>0.6</v>
      </c>
      <c r="F10" s="2">
        <v>70</v>
      </c>
      <c r="G10" s="2">
        <v>0.25</v>
      </c>
      <c r="H10" s="2">
        <f t="shared" si="0"/>
        <v>14.25</v>
      </c>
      <c r="I10" s="2">
        <f t="shared" si="2"/>
        <v>17.5</v>
      </c>
      <c r="J10" s="2">
        <v>0.01</v>
      </c>
      <c r="K10" s="16">
        <f t="shared" si="1"/>
        <v>11.588749999999999</v>
      </c>
    </row>
    <row r="11" spans="1:14" x14ac:dyDescent="0.2">
      <c r="A11" s="3">
        <v>1</v>
      </c>
      <c r="B11" s="7" t="s">
        <v>274</v>
      </c>
      <c r="C11" s="2" t="s">
        <v>229</v>
      </c>
      <c r="D11" t="s">
        <v>177</v>
      </c>
      <c r="E11" s="2">
        <f>L_watt</f>
        <v>0.5</v>
      </c>
      <c r="F11" s="2">
        <v>40</v>
      </c>
      <c r="G11" s="2">
        <v>0.25</v>
      </c>
      <c r="H11" s="2">
        <f t="shared" si="0"/>
        <v>11.875</v>
      </c>
      <c r="I11" s="2">
        <f t="shared" si="2"/>
        <v>10</v>
      </c>
      <c r="K11" s="16">
        <f t="shared" si="1"/>
        <v>7.984375</v>
      </c>
      <c r="L11" s="2">
        <v>2</v>
      </c>
    </row>
    <row r="12" spans="1:14" x14ac:dyDescent="0.2">
      <c r="A12" s="3">
        <v>1</v>
      </c>
      <c r="B12" s="7" t="s">
        <v>275</v>
      </c>
      <c r="C12" s="2" t="s">
        <v>229</v>
      </c>
      <c r="D12" t="s">
        <v>175</v>
      </c>
      <c r="E12" s="2">
        <f>L_watt</f>
        <v>0.5</v>
      </c>
      <c r="F12" s="2">
        <f>4*6/N</f>
        <v>32</v>
      </c>
      <c r="G12" s="2">
        <v>0.25</v>
      </c>
      <c r="H12" s="2">
        <f t="shared" si="0"/>
        <v>11.875</v>
      </c>
      <c r="I12" s="2">
        <f t="shared" si="2"/>
        <v>8</v>
      </c>
      <c r="K12" s="16">
        <f t="shared" si="1"/>
        <v>7.2543749999999996</v>
      </c>
      <c r="L12" s="2">
        <v>4</v>
      </c>
    </row>
    <row r="13" spans="1:14" x14ac:dyDescent="0.2">
      <c r="A13" s="3">
        <v>1</v>
      </c>
      <c r="B13" s="3" t="s">
        <v>277</v>
      </c>
      <c r="C13" s="2" t="s">
        <v>229</v>
      </c>
      <c r="D13" t="s">
        <v>174</v>
      </c>
      <c r="E13" s="2">
        <f>L_watt</f>
        <v>0.5</v>
      </c>
      <c r="F13" s="2">
        <f>4*6/N</f>
        <v>32</v>
      </c>
      <c r="G13" s="2">
        <f>2/14</f>
        <v>0.14285714285714285</v>
      </c>
      <c r="H13" s="2">
        <f t="shared" si="0"/>
        <v>11.928571428571429</v>
      </c>
      <c r="I13" s="2">
        <f t="shared" si="2"/>
        <v>4.5714285714285712</v>
      </c>
      <c r="K13" s="16">
        <f t="shared" si="1"/>
        <v>6.0225</v>
      </c>
      <c r="L13" s="2">
        <v>4</v>
      </c>
    </row>
    <row r="14" spans="1:14" x14ac:dyDescent="0.2">
      <c r="A14" s="3">
        <v>1</v>
      </c>
      <c r="B14" s="3" t="s">
        <v>276</v>
      </c>
      <c r="C14" s="2" t="s">
        <v>229</v>
      </c>
      <c r="D14" t="s">
        <v>176</v>
      </c>
      <c r="E14" s="2">
        <f>L_watt</f>
        <v>0.5</v>
      </c>
      <c r="F14" s="2">
        <f>4*6/N</f>
        <v>32</v>
      </c>
      <c r="G14" s="2">
        <f>0.25/7</f>
        <v>3.5714285714285712E-2</v>
      </c>
      <c r="H14" s="2">
        <f t="shared" si="0"/>
        <v>11.982142857142858</v>
      </c>
      <c r="I14" s="2">
        <f t="shared" si="2"/>
        <v>1.1428571428571428</v>
      </c>
      <c r="K14" s="16">
        <f t="shared" si="1"/>
        <v>4.7906250000000004</v>
      </c>
      <c r="L14" s="2">
        <v>4</v>
      </c>
    </row>
    <row r="15" spans="1:14" x14ac:dyDescent="0.2">
      <c r="A15" s="3">
        <v>1</v>
      </c>
      <c r="B15" s="3" t="s">
        <v>312</v>
      </c>
      <c r="C15" s="2" t="s">
        <v>229</v>
      </c>
      <c r="D15" t="s">
        <v>355</v>
      </c>
      <c r="E15" s="2">
        <v>0</v>
      </c>
      <c r="F15" s="2">
        <f>3*8.6</f>
        <v>25.799999999999997</v>
      </c>
      <c r="G15" s="2">
        <f>2/14</f>
        <v>0.14285714285714285</v>
      </c>
      <c r="H15" s="2">
        <f t="shared" si="0"/>
        <v>0</v>
      </c>
      <c r="I15" s="2">
        <f t="shared" si="2"/>
        <v>3.6857142857142851</v>
      </c>
      <c r="K15" s="16">
        <f t="shared" si="1"/>
        <v>1.345285714285714</v>
      </c>
      <c r="L15" s="2">
        <v>3</v>
      </c>
    </row>
    <row r="16" spans="1:14" x14ac:dyDescent="0.2">
      <c r="A16" s="3">
        <v>1</v>
      </c>
      <c r="B16" s="3" t="s">
        <v>311</v>
      </c>
      <c r="C16" s="2" t="s">
        <v>229</v>
      </c>
      <c r="D16" t="s">
        <v>249</v>
      </c>
      <c r="E16" s="2">
        <v>0</v>
      </c>
      <c r="F16" s="2">
        <v>18</v>
      </c>
      <c r="G16" s="2">
        <f>2/14</f>
        <v>0.14285714285714285</v>
      </c>
      <c r="H16" s="2">
        <f t="shared" si="0"/>
        <v>0</v>
      </c>
      <c r="I16" s="2">
        <f t="shared" si="2"/>
        <v>2.5714285714285712</v>
      </c>
      <c r="K16" s="16">
        <f t="shared" si="1"/>
        <v>0.93857142857142839</v>
      </c>
      <c r="L16" s="2">
        <v>6</v>
      </c>
    </row>
    <row r="17" spans="1:14" x14ac:dyDescent="0.2">
      <c r="A17" s="3">
        <v>1</v>
      </c>
      <c r="B17" s="3" t="s">
        <v>310</v>
      </c>
      <c r="C17" s="2" t="s">
        <v>229</v>
      </c>
      <c r="D17" t="s">
        <v>69</v>
      </c>
      <c r="E17" s="2">
        <v>0</v>
      </c>
      <c r="F17" s="2">
        <v>12</v>
      </c>
      <c r="G17" s="2">
        <f>2/14</f>
        <v>0.14285714285714285</v>
      </c>
      <c r="H17" s="2">
        <f t="shared" si="0"/>
        <v>0</v>
      </c>
      <c r="I17" s="2">
        <f t="shared" si="2"/>
        <v>1.7142857142857142</v>
      </c>
      <c r="K17" s="16">
        <f t="shared" si="1"/>
        <v>0.62571428571428567</v>
      </c>
      <c r="L17" s="2">
        <v>4</v>
      </c>
    </row>
    <row r="18" spans="1:14" x14ac:dyDescent="0.2">
      <c r="A18" s="3">
        <v>1</v>
      </c>
      <c r="B18" s="3" t="s">
        <v>169</v>
      </c>
      <c r="C18" s="2" t="s">
        <v>229</v>
      </c>
      <c r="D18" t="s">
        <v>173</v>
      </c>
      <c r="E18" s="2">
        <v>0</v>
      </c>
      <c r="F18" s="2">
        <v>4.4000000000000004</v>
      </c>
      <c r="G18" s="2">
        <v>0.25</v>
      </c>
      <c r="H18" s="2">
        <f t="shared" si="0"/>
        <v>0</v>
      </c>
      <c r="I18" s="2">
        <f t="shared" si="2"/>
        <v>1.1000000000000001</v>
      </c>
      <c r="J18" s="2">
        <v>0.19</v>
      </c>
      <c r="K18" s="16">
        <f t="shared" si="1"/>
        <v>0.40150000000000008</v>
      </c>
      <c r="L18" s="2">
        <v>2</v>
      </c>
    </row>
    <row r="19" spans="1:14" x14ac:dyDescent="0.2">
      <c r="A19" s="3">
        <v>1</v>
      </c>
      <c r="B19" s="3" t="s">
        <v>164</v>
      </c>
      <c r="C19" s="2" t="s">
        <v>229</v>
      </c>
      <c r="K19" s="16">
        <f t="shared" si="1"/>
        <v>0</v>
      </c>
      <c r="L19"/>
      <c r="M19" s="2">
        <v>2</v>
      </c>
    </row>
    <row r="20" spans="1:14" x14ac:dyDescent="0.2">
      <c r="A20" s="3">
        <v>1</v>
      </c>
      <c r="B20" s="3" t="s">
        <v>165</v>
      </c>
      <c r="C20" s="2" t="s">
        <v>229</v>
      </c>
      <c r="K20" s="16">
        <f t="shared" si="1"/>
        <v>0</v>
      </c>
      <c r="L20"/>
      <c r="M20" s="2">
        <v>1</v>
      </c>
    </row>
    <row r="21" spans="1:14" x14ac:dyDescent="0.2">
      <c r="A21" s="3">
        <v>1</v>
      </c>
      <c r="B21" s="3" t="s">
        <v>166</v>
      </c>
      <c r="C21" s="2" t="s">
        <v>229</v>
      </c>
      <c r="K21" s="16">
        <f t="shared" si="1"/>
        <v>0</v>
      </c>
      <c r="L21"/>
      <c r="M21" s="2">
        <v>1</v>
      </c>
    </row>
    <row r="22" spans="1:14" x14ac:dyDescent="0.2">
      <c r="A22" s="3">
        <v>1</v>
      </c>
      <c r="B22" s="3" t="s">
        <v>167</v>
      </c>
      <c r="C22" s="2" t="s">
        <v>229</v>
      </c>
      <c r="K22" s="16">
        <f t="shared" si="1"/>
        <v>0</v>
      </c>
      <c r="L22"/>
      <c r="M22" s="2">
        <v>2</v>
      </c>
    </row>
    <row r="23" spans="1:14" x14ac:dyDescent="0.2">
      <c r="A23" s="3">
        <v>1</v>
      </c>
      <c r="B23" s="3" t="s">
        <v>356</v>
      </c>
      <c r="C23" s="2" t="s">
        <v>229</v>
      </c>
      <c r="D23" t="s">
        <v>349</v>
      </c>
      <c r="E23" s="2">
        <v>0.1</v>
      </c>
      <c r="F23" s="2">
        <v>0</v>
      </c>
      <c r="K23" s="16">
        <f t="shared" si="1"/>
        <v>0</v>
      </c>
      <c r="L23"/>
    </row>
    <row r="24" spans="1:14" x14ac:dyDescent="0.2">
      <c r="A24" s="3">
        <v>1</v>
      </c>
      <c r="B24" s="3" t="s">
        <v>168</v>
      </c>
      <c r="C24" s="2" t="s">
        <v>229</v>
      </c>
      <c r="K24" s="16">
        <f t="shared" si="1"/>
        <v>0</v>
      </c>
      <c r="L24"/>
      <c r="M24" s="2">
        <v>2</v>
      </c>
    </row>
    <row r="25" spans="1:14" x14ac:dyDescent="0.2">
      <c r="A25" s="3">
        <v>1</v>
      </c>
      <c r="B25" s="3" t="s">
        <v>154</v>
      </c>
      <c r="C25" s="2" t="s">
        <v>42</v>
      </c>
      <c r="D25" s="2" t="s">
        <v>370</v>
      </c>
      <c r="E25" s="2">
        <v>105</v>
      </c>
      <c r="H25" s="2">
        <f t="shared" ref="H25:H44" si="3">(24-G25)*E25</f>
        <v>2520</v>
      </c>
      <c r="I25" s="2">
        <f t="shared" ref="I25:I44" si="4">G25*F25</f>
        <v>0</v>
      </c>
      <c r="J25" s="2">
        <v>0.64</v>
      </c>
      <c r="K25" s="16">
        <f t="shared" si="1"/>
        <v>919.8</v>
      </c>
      <c r="M25" s="2">
        <v>1</v>
      </c>
      <c r="N25" s="2"/>
    </row>
    <row r="26" spans="1:14" x14ac:dyDescent="0.2">
      <c r="A26" s="3">
        <v>1</v>
      </c>
      <c r="B26" s="3" t="s">
        <v>152</v>
      </c>
      <c r="C26" s="2" t="s">
        <v>42</v>
      </c>
      <c r="D26" s="2" t="s">
        <v>153</v>
      </c>
      <c r="E26" s="2">
        <v>7</v>
      </c>
      <c r="H26" s="2">
        <f t="shared" si="3"/>
        <v>168</v>
      </c>
      <c r="I26" s="2">
        <f t="shared" si="4"/>
        <v>0</v>
      </c>
      <c r="J26" s="2">
        <v>0.57999999999999996</v>
      </c>
      <c r="K26" s="16">
        <f t="shared" si="1"/>
        <v>61.32</v>
      </c>
      <c r="M26" s="2">
        <v>4</v>
      </c>
      <c r="N26" s="2"/>
    </row>
    <row r="27" spans="1:14" x14ac:dyDescent="0.2">
      <c r="A27" s="3">
        <v>1</v>
      </c>
      <c r="B27" s="3" t="s">
        <v>141</v>
      </c>
      <c r="C27" s="2" t="s">
        <v>42</v>
      </c>
      <c r="D27" s="2" t="s">
        <v>143</v>
      </c>
      <c r="E27" s="2">
        <v>5</v>
      </c>
      <c r="H27" s="2">
        <f t="shared" si="3"/>
        <v>120</v>
      </c>
      <c r="I27" s="2">
        <f t="shared" si="4"/>
        <v>0</v>
      </c>
      <c r="J27" s="2">
        <v>0.97</v>
      </c>
      <c r="K27" s="16">
        <f t="shared" si="1"/>
        <v>43.8</v>
      </c>
      <c r="N27" s="2"/>
    </row>
    <row r="28" spans="1:14" x14ac:dyDescent="0.2">
      <c r="A28" s="3">
        <v>1</v>
      </c>
      <c r="C28" s="2" t="s">
        <v>42</v>
      </c>
      <c r="D28" t="s">
        <v>24</v>
      </c>
      <c r="E28" s="2">
        <v>5</v>
      </c>
      <c r="H28" s="2">
        <f t="shared" si="3"/>
        <v>120</v>
      </c>
      <c r="I28" s="2">
        <f t="shared" si="4"/>
        <v>0</v>
      </c>
      <c r="K28" s="16">
        <f t="shared" si="1"/>
        <v>43.8</v>
      </c>
      <c r="M28"/>
    </row>
    <row r="29" spans="1:14" x14ac:dyDescent="0.2">
      <c r="A29" s="3">
        <v>1</v>
      </c>
      <c r="B29" s="3" t="s">
        <v>147</v>
      </c>
      <c r="C29" s="2" t="s">
        <v>42</v>
      </c>
      <c r="D29" s="2" t="s">
        <v>149</v>
      </c>
      <c r="E29" s="2">
        <v>4.9000000000000004</v>
      </c>
      <c r="H29" s="2">
        <f t="shared" si="3"/>
        <v>117.60000000000001</v>
      </c>
      <c r="I29" s="2">
        <f t="shared" si="4"/>
        <v>0</v>
      </c>
      <c r="J29" s="2">
        <v>0.4</v>
      </c>
      <c r="K29" s="16">
        <f t="shared" si="1"/>
        <v>42.923999999999999</v>
      </c>
      <c r="N29" s="2"/>
    </row>
    <row r="30" spans="1:14" x14ac:dyDescent="0.2">
      <c r="A30" s="3">
        <v>1</v>
      </c>
      <c r="B30" s="3" t="s">
        <v>152</v>
      </c>
      <c r="C30" s="2" t="s">
        <v>42</v>
      </c>
      <c r="D30" t="s">
        <v>358</v>
      </c>
      <c r="E30" s="2">
        <v>4.2</v>
      </c>
      <c r="H30" s="2">
        <f t="shared" si="3"/>
        <v>100.80000000000001</v>
      </c>
      <c r="I30" s="2">
        <f t="shared" si="4"/>
        <v>0</v>
      </c>
      <c r="J30" s="2">
        <v>0.67</v>
      </c>
      <c r="K30" s="16">
        <f t="shared" si="1"/>
        <v>36.792000000000009</v>
      </c>
      <c r="N30" s="2"/>
    </row>
    <row r="31" spans="1:14" x14ac:dyDescent="0.2">
      <c r="A31" s="3">
        <v>1</v>
      </c>
      <c r="B31" s="3" t="s">
        <v>141</v>
      </c>
      <c r="C31" s="2" t="s">
        <v>42</v>
      </c>
      <c r="D31" s="2" t="s">
        <v>142</v>
      </c>
      <c r="E31" s="2">
        <v>2.2000000000000002</v>
      </c>
      <c r="H31" s="2">
        <f t="shared" si="3"/>
        <v>52.800000000000004</v>
      </c>
      <c r="I31" s="2">
        <f t="shared" si="4"/>
        <v>0</v>
      </c>
      <c r="J31" s="2">
        <v>0.62</v>
      </c>
      <c r="K31" s="16">
        <f t="shared" si="1"/>
        <v>19.271999999999998</v>
      </c>
      <c r="M31" s="2">
        <v>4</v>
      </c>
      <c r="N31" s="2"/>
    </row>
    <row r="32" spans="1:14" x14ac:dyDescent="0.2">
      <c r="A32" s="3">
        <v>1</v>
      </c>
      <c r="B32" s="3" t="s">
        <v>147</v>
      </c>
      <c r="C32" s="2" t="s">
        <v>42</v>
      </c>
      <c r="D32" s="2" t="s">
        <v>151</v>
      </c>
      <c r="E32" s="2">
        <v>2</v>
      </c>
      <c r="H32" s="2">
        <f t="shared" si="3"/>
        <v>48</v>
      </c>
      <c r="I32" s="2">
        <f t="shared" si="4"/>
        <v>0</v>
      </c>
      <c r="J32" s="2">
        <v>0.39</v>
      </c>
      <c r="K32" s="16">
        <f t="shared" si="1"/>
        <v>17.52</v>
      </c>
      <c r="N32" s="2"/>
    </row>
    <row r="33" spans="1:14" x14ac:dyDescent="0.2">
      <c r="A33" s="3">
        <v>1</v>
      </c>
      <c r="C33" s="2" t="s">
        <v>42</v>
      </c>
      <c r="D33" t="s">
        <v>25</v>
      </c>
      <c r="E33" s="2">
        <v>2</v>
      </c>
      <c r="H33" s="2">
        <f t="shared" si="3"/>
        <v>48</v>
      </c>
      <c r="I33" s="2">
        <f t="shared" si="4"/>
        <v>0</v>
      </c>
      <c r="K33" s="16">
        <f t="shared" si="1"/>
        <v>17.52</v>
      </c>
      <c r="M33"/>
    </row>
    <row r="34" spans="1:14" x14ac:dyDescent="0.2">
      <c r="A34" s="3">
        <v>1</v>
      </c>
      <c r="C34" s="2" t="s">
        <v>42</v>
      </c>
      <c r="D34" s="2" t="s">
        <v>156</v>
      </c>
      <c r="E34" s="2">
        <v>0</v>
      </c>
      <c r="F34" s="2">
        <f>4*36</f>
        <v>144</v>
      </c>
      <c r="G34" s="2">
        <v>0.25</v>
      </c>
      <c r="H34" s="2">
        <f t="shared" si="3"/>
        <v>0</v>
      </c>
      <c r="I34" s="2">
        <f t="shared" si="4"/>
        <v>36</v>
      </c>
      <c r="K34" s="16">
        <f t="shared" si="1"/>
        <v>13.14</v>
      </c>
      <c r="L34" s="2">
        <v>4</v>
      </c>
      <c r="N34" s="2"/>
    </row>
    <row r="35" spans="1:14" x14ac:dyDescent="0.2">
      <c r="A35" s="3">
        <v>1</v>
      </c>
      <c r="B35" s="3" t="s">
        <v>159</v>
      </c>
      <c r="C35" s="2" t="s">
        <v>42</v>
      </c>
      <c r="D35" s="2" t="s">
        <v>160</v>
      </c>
      <c r="E35" s="2">
        <v>1.4</v>
      </c>
      <c r="H35" s="2">
        <f t="shared" si="3"/>
        <v>33.599999999999994</v>
      </c>
      <c r="I35" s="2">
        <f t="shared" si="4"/>
        <v>0</v>
      </c>
      <c r="J35" s="2">
        <v>0.42</v>
      </c>
      <c r="K35" s="16">
        <f t="shared" si="1"/>
        <v>12.263999999999998</v>
      </c>
      <c r="M35" s="2">
        <v>1</v>
      </c>
      <c r="N35" s="2"/>
    </row>
    <row r="36" spans="1:14" x14ac:dyDescent="0.2">
      <c r="A36" s="3">
        <v>1</v>
      </c>
      <c r="B36" s="3" t="s">
        <v>157</v>
      </c>
      <c r="C36" s="2" t="s">
        <v>42</v>
      </c>
      <c r="D36" s="2" t="s">
        <v>158</v>
      </c>
      <c r="E36" s="2">
        <f>L_watt</f>
        <v>0.5</v>
      </c>
      <c r="F36" s="2">
        <v>86</v>
      </c>
      <c r="G36" s="2">
        <v>0.25</v>
      </c>
      <c r="H36" s="2">
        <f t="shared" si="3"/>
        <v>11.875</v>
      </c>
      <c r="I36" s="2">
        <f t="shared" si="4"/>
        <v>21.5</v>
      </c>
      <c r="J36" s="2">
        <v>0.99</v>
      </c>
      <c r="K36" s="16">
        <f t="shared" si="1"/>
        <v>12.181875</v>
      </c>
      <c r="M36" s="2">
        <v>1</v>
      </c>
      <c r="N36" s="2"/>
    </row>
    <row r="37" spans="1:14" x14ac:dyDescent="0.2">
      <c r="A37" s="3">
        <v>1</v>
      </c>
      <c r="B37" s="3" t="s">
        <v>147</v>
      </c>
      <c r="C37" s="2" t="s">
        <v>42</v>
      </c>
      <c r="D37" s="2" t="s">
        <v>150</v>
      </c>
      <c r="E37" s="2">
        <v>1.2</v>
      </c>
      <c r="H37" s="2">
        <f t="shared" si="3"/>
        <v>28.799999999999997</v>
      </c>
      <c r="I37" s="2">
        <f t="shared" si="4"/>
        <v>0</v>
      </c>
      <c r="J37" s="2">
        <v>0.64</v>
      </c>
      <c r="K37" s="16">
        <f t="shared" si="1"/>
        <v>10.511999999999999</v>
      </c>
      <c r="M37" s="2">
        <v>4</v>
      </c>
      <c r="N37" s="2"/>
    </row>
    <row r="38" spans="1:14" x14ac:dyDescent="0.2">
      <c r="A38" s="3">
        <v>1</v>
      </c>
      <c r="B38" s="3" t="s">
        <v>147</v>
      </c>
      <c r="C38" s="2" t="s">
        <v>42</v>
      </c>
      <c r="D38" s="2" t="s">
        <v>148</v>
      </c>
      <c r="E38" s="2">
        <f>L_watt</f>
        <v>0.5</v>
      </c>
      <c r="H38" s="2">
        <f t="shared" si="3"/>
        <v>12</v>
      </c>
      <c r="I38" s="2">
        <f t="shared" si="4"/>
        <v>0</v>
      </c>
      <c r="K38" s="16">
        <f t="shared" si="1"/>
        <v>4.38</v>
      </c>
      <c r="N38" s="2"/>
    </row>
    <row r="39" spans="1:14" x14ac:dyDescent="0.2">
      <c r="A39" s="3">
        <v>1</v>
      </c>
      <c r="C39" s="2" t="s">
        <v>42</v>
      </c>
      <c r="D39" s="2" t="s">
        <v>118</v>
      </c>
      <c r="E39" s="2">
        <f>L_watt</f>
        <v>0.5</v>
      </c>
      <c r="H39" s="2">
        <f t="shared" si="3"/>
        <v>12</v>
      </c>
      <c r="I39" s="2">
        <f t="shared" si="4"/>
        <v>0</v>
      </c>
      <c r="K39" s="16">
        <f t="shared" si="1"/>
        <v>4.38</v>
      </c>
      <c r="N39" s="2"/>
    </row>
    <row r="40" spans="1:14" x14ac:dyDescent="0.2">
      <c r="A40" s="3">
        <v>1</v>
      </c>
      <c r="B40" s="3" t="s">
        <v>146</v>
      </c>
      <c r="C40" s="2" t="s">
        <v>42</v>
      </c>
      <c r="D40" s="2" t="s">
        <v>241</v>
      </c>
      <c r="E40" s="2">
        <v>0</v>
      </c>
      <c r="H40" s="2">
        <f t="shared" si="3"/>
        <v>0</v>
      </c>
      <c r="I40" s="2">
        <f t="shared" si="4"/>
        <v>0</v>
      </c>
      <c r="K40" s="16">
        <f t="shared" si="1"/>
        <v>0</v>
      </c>
      <c r="M40" s="2">
        <v>1</v>
      </c>
      <c r="N40" s="2"/>
    </row>
    <row r="41" spans="1:14" x14ac:dyDescent="0.2">
      <c r="A41" s="3">
        <v>1</v>
      </c>
      <c r="C41" s="2" t="s">
        <v>224</v>
      </c>
      <c r="D41" s="2" t="s">
        <v>118</v>
      </c>
      <c r="E41" s="2">
        <f>L_watt</f>
        <v>0.5</v>
      </c>
      <c r="H41" s="2">
        <f t="shared" si="3"/>
        <v>12</v>
      </c>
      <c r="I41" s="2">
        <f t="shared" si="4"/>
        <v>0</v>
      </c>
      <c r="K41" s="16">
        <f t="shared" si="1"/>
        <v>4.38</v>
      </c>
      <c r="N41" s="2"/>
    </row>
    <row r="42" spans="1:14" x14ac:dyDescent="0.2">
      <c r="A42" s="3">
        <v>1</v>
      </c>
      <c r="C42" s="2" t="s">
        <v>224</v>
      </c>
      <c r="D42" s="2" t="s">
        <v>178</v>
      </c>
      <c r="E42" s="2">
        <v>0</v>
      </c>
      <c r="F42" s="2">
        <f>4*6/N</f>
        <v>32</v>
      </c>
      <c r="G42" s="2">
        <v>0.25</v>
      </c>
      <c r="H42" s="2">
        <f t="shared" si="3"/>
        <v>0</v>
      </c>
      <c r="I42" s="2">
        <f t="shared" si="4"/>
        <v>8</v>
      </c>
      <c r="K42" s="16">
        <f t="shared" si="1"/>
        <v>2.92</v>
      </c>
      <c r="L42" s="2">
        <v>2</v>
      </c>
      <c r="N42" s="2"/>
    </row>
    <row r="43" spans="1:14" x14ac:dyDescent="0.2">
      <c r="A43" s="3">
        <v>1</v>
      </c>
      <c r="C43" s="2" t="s">
        <v>43</v>
      </c>
      <c r="D43" s="2" t="s">
        <v>118</v>
      </c>
      <c r="E43" s="2">
        <f>L_watt</f>
        <v>0.5</v>
      </c>
      <c r="H43" s="2">
        <f t="shared" si="3"/>
        <v>12</v>
      </c>
      <c r="I43" s="2">
        <f t="shared" si="4"/>
        <v>0</v>
      </c>
      <c r="K43" s="16">
        <f t="shared" si="1"/>
        <v>4.38</v>
      </c>
      <c r="N43" s="2"/>
    </row>
    <row r="44" spans="1:14" x14ac:dyDescent="0.2">
      <c r="A44" s="3">
        <v>1</v>
      </c>
      <c r="C44" s="2" t="s">
        <v>43</v>
      </c>
      <c r="D44" s="2" t="s">
        <v>156</v>
      </c>
      <c r="E44" s="2">
        <v>0</v>
      </c>
      <c r="F44" s="2">
        <v>70</v>
      </c>
      <c r="G44" s="2">
        <f>0.25/4</f>
        <v>6.25E-2</v>
      </c>
      <c r="H44" s="2">
        <f t="shared" si="3"/>
        <v>0</v>
      </c>
      <c r="I44" s="2">
        <f t="shared" si="4"/>
        <v>4.375</v>
      </c>
      <c r="K44" s="16">
        <f t="shared" si="1"/>
        <v>1.596875</v>
      </c>
      <c r="L44" s="2">
        <v>4</v>
      </c>
      <c r="N44" s="2"/>
    </row>
    <row r="45" spans="1:14" x14ac:dyDescent="0.2">
      <c r="A45" s="3">
        <v>1</v>
      </c>
      <c r="B45" s="3" t="s">
        <v>179</v>
      </c>
      <c r="C45" s="2" t="s">
        <v>43</v>
      </c>
      <c r="D45" s="2"/>
      <c r="K45" s="16">
        <f t="shared" si="1"/>
        <v>0</v>
      </c>
      <c r="M45" s="2">
        <v>2</v>
      </c>
      <c r="N45" s="2"/>
    </row>
    <row r="46" spans="1:14" x14ac:dyDescent="0.2">
      <c r="A46" s="3">
        <v>2</v>
      </c>
      <c r="B46" s="3" t="s">
        <v>187</v>
      </c>
      <c r="C46" s="2" t="s">
        <v>2</v>
      </c>
      <c r="D46" t="s">
        <v>351</v>
      </c>
      <c r="E46" s="2">
        <v>0.5</v>
      </c>
      <c r="F46" s="2">
        <v>600</v>
      </c>
      <c r="G46" s="2">
        <v>0.1</v>
      </c>
      <c r="H46" s="2">
        <f>(24-G46)*E46</f>
        <v>11.95</v>
      </c>
      <c r="I46" s="2">
        <f>G46*F46</f>
        <v>60</v>
      </c>
      <c r="K46" s="2">
        <f t="shared" si="1"/>
        <v>26.261749999999999</v>
      </c>
      <c r="M46" s="2">
        <v>1</v>
      </c>
    </row>
    <row r="47" spans="1:14" x14ac:dyDescent="0.2">
      <c r="A47" s="3">
        <v>3</v>
      </c>
      <c r="B47" s="3" t="s">
        <v>212</v>
      </c>
      <c r="C47" s="2" t="s">
        <v>201</v>
      </c>
      <c r="D47" s="2" t="s">
        <v>213</v>
      </c>
      <c r="E47" s="2">
        <v>5</v>
      </c>
      <c r="H47" s="2">
        <f>(24-G47)*E47</f>
        <v>120</v>
      </c>
      <c r="I47" s="2">
        <f>G47*F47</f>
        <v>0</v>
      </c>
      <c r="K47" s="16">
        <f t="shared" si="1"/>
        <v>43.8</v>
      </c>
      <c r="M47" s="2">
        <v>1</v>
      </c>
      <c r="N47" s="2"/>
    </row>
    <row r="48" spans="1:14" x14ac:dyDescent="0.2">
      <c r="A48" s="3">
        <v>3</v>
      </c>
      <c r="C48" s="2" t="s">
        <v>201</v>
      </c>
      <c r="D48" s="2" t="s">
        <v>203</v>
      </c>
      <c r="E48" s="2">
        <v>0</v>
      </c>
      <c r="F48" s="11">
        <v>5</v>
      </c>
      <c r="G48" s="2">
        <f>0.25/4</f>
        <v>6.25E-2</v>
      </c>
      <c r="H48" s="2">
        <f>(24-G48)*E48</f>
        <v>0</v>
      </c>
      <c r="I48" s="2">
        <f>G48*F48</f>
        <v>0.3125</v>
      </c>
      <c r="K48" s="16">
        <f t="shared" si="1"/>
        <v>0.1140625</v>
      </c>
      <c r="L48" s="2">
        <v>1</v>
      </c>
      <c r="N48" s="2"/>
    </row>
    <row r="49" spans="1:14" x14ac:dyDescent="0.2">
      <c r="A49" s="3">
        <v>3</v>
      </c>
      <c r="B49" s="3" t="s">
        <v>202</v>
      </c>
      <c r="C49" s="2" t="s">
        <v>201</v>
      </c>
      <c r="D49" s="2"/>
      <c r="K49" s="16">
        <f t="shared" si="1"/>
        <v>0</v>
      </c>
      <c r="M49" s="2">
        <v>2</v>
      </c>
      <c r="N49" s="2"/>
    </row>
    <row r="50" spans="1:14" x14ac:dyDescent="0.2">
      <c r="A50" s="3">
        <v>3</v>
      </c>
      <c r="C50" s="2" t="s">
        <v>231</v>
      </c>
      <c r="D50" s="2" t="s">
        <v>162</v>
      </c>
      <c r="E50" s="2">
        <v>3</v>
      </c>
      <c r="H50" s="2">
        <f>(24-G50)*E50</f>
        <v>72</v>
      </c>
      <c r="I50" s="2">
        <f>G50*F50</f>
        <v>0</v>
      </c>
      <c r="K50" s="16">
        <f t="shared" si="1"/>
        <v>26.28</v>
      </c>
      <c r="N50" s="2" t="s">
        <v>244</v>
      </c>
    </row>
    <row r="51" spans="1:14" x14ac:dyDescent="0.2">
      <c r="A51" s="3">
        <v>3</v>
      </c>
      <c r="C51" s="2" t="s">
        <v>231</v>
      </c>
      <c r="D51" s="2" t="s">
        <v>317</v>
      </c>
      <c r="E51" s="2">
        <v>0</v>
      </c>
      <c r="F51" s="2">
        <f>4*2</f>
        <v>8</v>
      </c>
      <c r="G51" s="2">
        <f>0.25/4</f>
        <v>6.25E-2</v>
      </c>
      <c r="H51" s="2">
        <f>(24-G51)*E51</f>
        <v>0</v>
      </c>
      <c r="I51" s="2">
        <f>G51*F51</f>
        <v>0.5</v>
      </c>
      <c r="K51" s="16">
        <f t="shared" si="1"/>
        <v>0.1825</v>
      </c>
      <c r="L51" s="2">
        <v>4</v>
      </c>
      <c r="N51" s="2"/>
    </row>
    <row r="52" spans="1:14" x14ac:dyDescent="0.2">
      <c r="A52" s="3">
        <v>3</v>
      </c>
      <c r="B52" s="3" t="s">
        <v>210</v>
      </c>
      <c r="C52" s="2" t="s">
        <v>205</v>
      </c>
      <c r="D52" s="2"/>
      <c r="K52" s="16">
        <f t="shared" si="1"/>
        <v>0</v>
      </c>
      <c r="M52" s="2">
        <v>2</v>
      </c>
      <c r="N52" s="2"/>
    </row>
    <row r="53" spans="1:14" x14ac:dyDescent="0.2">
      <c r="A53" s="3">
        <v>3</v>
      </c>
      <c r="B53" s="3" t="s">
        <v>211</v>
      </c>
      <c r="C53" s="2" t="s">
        <v>205</v>
      </c>
      <c r="D53" s="2"/>
      <c r="K53" s="16">
        <f t="shared" si="1"/>
        <v>0</v>
      </c>
      <c r="M53" s="2">
        <v>2</v>
      </c>
      <c r="N53" s="2"/>
    </row>
    <row r="54" spans="1:14" x14ac:dyDescent="0.2">
      <c r="A54" s="3">
        <v>3</v>
      </c>
      <c r="C54" s="2" t="s">
        <v>205</v>
      </c>
      <c r="D54" s="2" t="s">
        <v>207</v>
      </c>
      <c r="E54" s="2">
        <v>0</v>
      </c>
      <c r="G54" s="2">
        <v>0</v>
      </c>
      <c r="H54" s="2">
        <f>(24-G54)*E54</f>
        <v>0</v>
      </c>
      <c r="I54" s="2">
        <f>G54*F54</f>
        <v>0</v>
      </c>
      <c r="K54" s="16">
        <f t="shared" si="1"/>
        <v>0</v>
      </c>
      <c r="L54" s="2">
        <v>1</v>
      </c>
      <c r="N54" s="2"/>
    </row>
    <row r="55" spans="1:14" x14ac:dyDescent="0.2">
      <c r="A55" s="3">
        <v>3</v>
      </c>
      <c r="B55" s="3" t="s">
        <v>208</v>
      </c>
      <c r="C55" s="2" t="s">
        <v>206</v>
      </c>
      <c r="D55" s="2"/>
      <c r="K55" s="16">
        <f t="shared" si="1"/>
        <v>0</v>
      </c>
      <c r="M55" s="2">
        <v>2</v>
      </c>
      <c r="N55" s="2"/>
    </row>
    <row r="56" spans="1:14" x14ac:dyDescent="0.2">
      <c r="A56" s="3">
        <v>3</v>
      </c>
      <c r="B56" s="3" t="s">
        <v>209</v>
      </c>
      <c r="C56" s="2" t="s">
        <v>206</v>
      </c>
      <c r="D56" s="2"/>
      <c r="K56" s="16">
        <f t="shared" si="1"/>
        <v>0</v>
      </c>
      <c r="M56" s="2">
        <v>2</v>
      </c>
      <c r="N56" s="2"/>
    </row>
    <row r="57" spans="1:14" x14ac:dyDescent="0.2">
      <c r="A57" s="3">
        <v>3</v>
      </c>
      <c r="C57" s="2" t="s">
        <v>206</v>
      </c>
      <c r="D57" s="2" t="s">
        <v>207</v>
      </c>
      <c r="E57" s="2">
        <v>0</v>
      </c>
      <c r="F57" s="2">
        <v>10</v>
      </c>
      <c r="G57" s="2">
        <v>0</v>
      </c>
      <c r="H57" s="2">
        <f t="shared" ref="H57:H80" si="5">(24-G57)*E57</f>
        <v>0</v>
      </c>
      <c r="I57" s="2">
        <f t="shared" ref="I57:I64" si="6">G57*F57</f>
        <v>0</v>
      </c>
      <c r="K57" s="16">
        <f t="shared" si="1"/>
        <v>0</v>
      </c>
      <c r="L57" s="2">
        <v>1</v>
      </c>
      <c r="N57" s="2"/>
    </row>
    <row r="58" spans="1:14" x14ac:dyDescent="0.2">
      <c r="A58" s="3">
        <v>3</v>
      </c>
      <c r="C58" s="2" t="s">
        <v>204</v>
      </c>
      <c r="D58" s="2" t="s">
        <v>162</v>
      </c>
      <c r="E58" s="2">
        <v>3</v>
      </c>
      <c r="H58" s="2">
        <f t="shared" si="5"/>
        <v>72</v>
      </c>
      <c r="I58" s="2">
        <f t="shared" si="6"/>
        <v>0</v>
      </c>
      <c r="K58" s="16">
        <f t="shared" si="1"/>
        <v>26.28</v>
      </c>
      <c r="N58" s="2" t="s">
        <v>244</v>
      </c>
    </row>
    <row r="59" spans="1:14" x14ac:dyDescent="0.2">
      <c r="A59" s="3">
        <v>3</v>
      </c>
      <c r="C59" s="2" t="s">
        <v>204</v>
      </c>
      <c r="D59" s="2" t="s">
        <v>118</v>
      </c>
      <c r="E59" s="2">
        <f>L_watt</f>
        <v>0.5</v>
      </c>
      <c r="H59" s="2">
        <f t="shared" si="5"/>
        <v>12</v>
      </c>
      <c r="I59" s="2">
        <f t="shared" si="6"/>
        <v>0</v>
      </c>
      <c r="K59" s="16">
        <f t="shared" si="1"/>
        <v>4.38</v>
      </c>
      <c r="N59" s="2"/>
    </row>
    <row r="60" spans="1:14" x14ac:dyDescent="0.2">
      <c r="A60" s="3">
        <v>3</v>
      </c>
      <c r="C60" s="2" t="s">
        <v>204</v>
      </c>
      <c r="D60" s="2" t="s">
        <v>207</v>
      </c>
      <c r="E60" s="2">
        <v>0</v>
      </c>
      <c r="F60" s="2">
        <v>10</v>
      </c>
      <c r="G60" s="2">
        <v>0</v>
      </c>
      <c r="H60" s="2">
        <f t="shared" si="5"/>
        <v>0</v>
      </c>
      <c r="I60" s="2">
        <f t="shared" si="6"/>
        <v>0</v>
      </c>
      <c r="K60" s="16">
        <f t="shared" si="1"/>
        <v>0</v>
      </c>
      <c r="L60" s="2">
        <v>1</v>
      </c>
      <c r="N60" s="2"/>
    </row>
    <row r="61" spans="1:14" x14ac:dyDescent="0.2">
      <c r="A61" s="3">
        <v>4</v>
      </c>
      <c r="C61" s="2" t="s">
        <v>46</v>
      </c>
      <c r="D61" t="s">
        <v>7</v>
      </c>
      <c r="E61" s="2">
        <v>0</v>
      </c>
      <c r="F61" s="2">
        <v>3000</v>
      </c>
      <c r="G61" s="2">
        <v>0.04</v>
      </c>
      <c r="H61" s="2">
        <f t="shared" si="5"/>
        <v>0</v>
      </c>
      <c r="I61" s="2">
        <f t="shared" si="6"/>
        <v>120</v>
      </c>
      <c r="K61" s="16">
        <f t="shared" si="1"/>
        <v>43.8</v>
      </c>
      <c r="M61"/>
    </row>
    <row r="62" spans="1:14" x14ac:dyDescent="0.2">
      <c r="A62" s="3">
        <v>5</v>
      </c>
      <c r="B62" s="3" t="s">
        <v>188</v>
      </c>
      <c r="C62" s="2" t="s">
        <v>2</v>
      </c>
      <c r="D62" t="s">
        <v>350</v>
      </c>
      <c r="E62" s="2">
        <v>0.3</v>
      </c>
      <c r="F62" s="2">
        <v>600</v>
      </c>
      <c r="G62" s="2">
        <f>3.5/7</f>
        <v>0.5</v>
      </c>
      <c r="H62" s="2">
        <f t="shared" si="5"/>
        <v>7.05</v>
      </c>
      <c r="I62" s="2">
        <f t="shared" si="6"/>
        <v>300</v>
      </c>
      <c r="K62" s="16">
        <f t="shared" si="1"/>
        <v>112.07325</v>
      </c>
      <c r="M62" s="2">
        <v>2</v>
      </c>
    </row>
    <row r="63" spans="1:14" x14ac:dyDescent="0.2">
      <c r="A63" s="3">
        <v>6</v>
      </c>
      <c r="B63" s="3" t="s">
        <v>86</v>
      </c>
      <c r="C63" s="2" t="s">
        <v>45</v>
      </c>
      <c r="D63" t="s">
        <v>85</v>
      </c>
      <c r="E63" s="2">
        <v>35</v>
      </c>
      <c r="F63" s="2">
        <v>58</v>
      </c>
      <c r="G63" s="2">
        <v>12</v>
      </c>
      <c r="H63" s="2">
        <f t="shared" si="5"/>
        <v>420</v>
      </c>
      <c r="I63" s="2">
        <f t="shared" si="6"/>
        <v>696</v>
      </c>
      <c r="J63" s="2">
        <v>0.5</v>
      </c>
      <c r="K63" s="16">
        <f t="shared" si="1"/>
        <v>407.34</v>
      </c>
      <c r="N63" t="s">
        <v>323</v>
      </c>
    </row>
    <row r="64" spans="1:14" x14ac:dyDescent="0.2">
      <c r="A64" s="3">
        <v>6</v>
      </c>
      <c r="B64" s="3" t="s">
        <v>86</v>
      </c>
      <c r="C64" s="2" t="s">
        <v>45</v>
      </c>
      <c r="D64" t="s">
        <v>87</v>
      </c>
      <c r="E64" s="2">
        <v>37.4</v>
      </c>
      <c r="H64" s="2">
        <f t="shared" si="5"/>
        <v>897.59999999999991</v>
      </c>
      <c r="I64" s="2">
        <f t="shared" si="6"/>
        <v>0</v>
      </c>
      <c r="K64" s="16">
        <f t="shared" si="1"/>
        <v>327.62399999999997</v>
      </c>
    </row>
    <row r="65" spans="1:14" x14ac:dyDescent="0.2">
      <c r="A65" s="3">
        <v>6</v>
      </c>
      <c r="C65" s="2" t="s">
        <v>50</v>
      </c>
      <c r="D65" t="s">
        <v>375</v>
      </c>
      <c r="E65" s="2">
        <f>L_watt</f>
        <v>0.5</v>
      </c>
      <c r="H65" s="2">
        <f t="shared" si="5"/>
        <v>12</v>
      </c>
      <c r="K65" s="16">
        <f t="shared" si="1"/>
        <v>4.38</v>
      </c>
    </row>
    <row r="66" spans="1:14" x14ac:dyDescent="0.2">
      <c r="A66" s="3">
        <v>6</v>
      </c>
      <c r="C66" s="2" t="s">
        <v>45</v>
      </c>
      <c r="D66" t="s">
        <v>118</v>
      </c>
      <c r="E66" s="2">
        <f>L_watt</f>
        <v>0.5</v>
      </c>
      <c r="H66" s="2">
        <f t="shared" si="5"/>
        <v>12</v>
      </c>
      <c r="I66" s="2">
        <f t="shared" ref="I66:I80" si="7">G66*F66</f>
        <v>0</v>
      </c>
      <c r="K66" s="16">
        <f t="shared" ref="K66:K129" si="8">(H66+I66)*365/1000</f>
        <v>4.38</v>
      </c>
      <c r="M66"/>
    </row>
    <row r="67" spans="1:14" x14ac:dyDescent="0.2">
      <c r="A67" s="3">
        <v>6</v>
      </c>
      <c r="C67" s="2" t="s">
        <v>45</v>
      </c>
      <c r="D67" t="s">
        <v>207</v>
      </c>
      <c r="E67" s="2">
        <v>0</v>
      </c>
      <c r="F67" s="2">
        <v>8</v>
      </c>
      <c r="G67" s="2">
        <v>1</v>
      </c>
      <c r="H67" s="2">
        <f t="shared" si="5"/>
        <v>0</v>
      </c>
      <c r="I67" s="2">
        <f t="shared" si="7"/>
        <v>8</v>
      </c>
      <c r="K67" s="16">
        <f t="shared" si="8"/>
        <v>2.92</v>
      </c>
      <c r="L67" s="2">
        <v>1</v>
      </c>
      <c r="M67"/>
    </row>
    <row r="68" spans="1:14" x14ac:dyDescent="0.2">
      <c r="A68" s="3">
        <v>6</v>
      </c>
      <c r="B68" s="3" t="s">
        <v>86</v>
      </c>
      <c r="C68" s="2" t="s">
        <v>45</v>
      </c>
      <c r="D68" t="s">
        <v>88</v>
      </c>
      <c r="E68" s="2">
        <v>0</v>
      </c>
      <c r="F68" s="2">
        <v>15</v>
      </c>
      <c r="G68" s="2">
        <v>0</v>
      </c>
      <c r="H68" s="2">
        <f t="shared" si="5"/>
        <v>0</v>
      </c>
      <c r="I68" s="2">
        <f t="shared" si="7"/>
        <v>0</v>
      </c>
      <c r="K68" s="16">
        <f t="shared" si="8"/>
        <v>0</v>
      </c>
      <c r="M68" s="2">
        <v>2</v>
      </c>
    </row>
    <row r="69" spans="1:14" x14ac:dyDescent="0.2">
      <c r="A69" s="3">
        <v>6</v>
      </c>
      <c r="B69" s="3" t="s">
        <v>277</v>
      </c>
      <c r="C69" s="2" t="s">
        <v>217</v>
      </c>
      <c r="D69" t="s">
        <v>84</v>
      </c>
      <c r="E69" s="2">
        <f>L_watt</f>
        <v>0.5</v>
      </c>
      <c r="F69" s="2">
        <f>4*6/N</f>
        <v>32</v>
      </c>
      <c r="G69" s="2">
        <f>0.5</f>
        <v>0.5</v>
      </c>
      <c r="H69" s="2">
        <f t="shared" si="5"/>
        <v>11.75</v>
      </c>
      <c r="I69" s="2">
        <f t="shared" si="7"/>
        <v>16</v>
      </c>
      <c r="K69" s="16">
        <f t="shared" si="8"/>
        <v>10.12875</v>
      </c>
      <c r="L69" s="2">
        <v>4</v>
      </c>
    </row>
    <row r="70" spans="1:14" x14ac:dyDescent="0.2">
      <c r="A70" s="3">
        <v>6</v>
      </c>
      <c r="B70" s="3" t="s">
        <v>106</v>
      </c>
      <c r="C70" s="2" t="s">
        <v>136</v>
      </c>
      <c r="D70" t="s">
        <v>107</v>
      </c>
      <c r="E70" s="2">
        <v>0.8</v>
      </c>
      <c r="F70" s="2">
        <v>1600</v>
      </c>
      <c r="G70" s="2">
        <v>0.1</v>
      </c>
      <c r="H70" s="2">
        <f t="shared" si="5"/>
        <v>19.12</v>
      </c>
      <c r="I70" s="2">
        <f t="shared" si="7"/>
        <v>160</v>
      </c>
      <c r="J70" s="2">
        <v>0.05</v>
      </c>
      <c r="K70" s="16">
        <f t="shared" si="8"/>
        <v>65.378799999999998</v>
      </c>
      <c r="M70" s="2">
        <v>1</v>
      </c>
    </row>
    <row r="71" spans="1:14" x14ac:dyDescent="0.2">
      <c r="A71" s="3">
        <v>6</v>
      </c>
      <c r="C71" s="2" t="s">
        <v>136</v>
      </c>
      <c r="D71" s="2" t="s">
        <v>117</v>
      </c>
      <c r="E71" s="2">
        <v>0</v>
      </c>
      <c r="F71" s="2" cm="1">
        <f t="array" ref="F71">2*2*58/NT</f>
        <v>257.77777777777777</v>
      </c>
      <c r="G71" s="2">
        <v>0.5</v>
      </c>
      <c r="H71" s="2">
        <f t="shared" si="5"/>
        <v>0</v>
      </c>
      <c r="I71" s="2">
        <f t="shared" si="7"/>
        <v>128.88888888888889</v>
      </c>
      <c r="K71" s="16">
        <f t="shared" si="8"/>
        <v>47.044444444444444</v>
      </c>
      <c r="L71" s="2">
        <v>4</v>
      </c>
      <c r="N71" s="2"/>
    </row>
    <row r="72" spans="1:14" x14ac:dyDescent="0.2">
      <c r="A72" s="3">
        <v>6</v>
      </c>
      <c r="C72" s="2" t="s">
        <v>136</v>
      </c>
      <c r="D72" s="2" t="s">
        <v>298</v>
      </c>
      <c r="E72" s="2">
        <v>5</v>
      </c>
      <c r="H72" s="2">
        <f t="shared" si="5"/>
        <v>120</v>
      </c>
      <c r="I72" s="2">
        <f t="shared" si="7"/>
        <v>0</v>
      </c>
      <c r="K72" s="16">
        <f t="shared" si="8"/>
        <v>43.8</v>
      </c>
      <c r="L72"/>
      <c r="M72"/>
    </row>
    <row r="73" spans="1:14" x14ac:dyDescent="0.2">
      <c r="A73" s="3">
        <v>6</v>
      </c>
      <c r="B73" s="3" t="s">
        <v>324</v>
      </c>
      <c r="C73" s="2" t="s">
        <v>136</v>
      </c>
      <c r="D73" s="2" t="s">
        <v>326</v>
      </c>
      <c r="E73" s="2">
        <v>0.6</v>
      </c>
      <c r="F73" s="2">
        <v>193</v>
      </c>
      <c r="G73" s="2">
        <v>0.1</v>
      </c>
      <c r="H73" s="2">
        <f t="shared" si="5"/>
        <v>14.339999999999998</v>
      </c>
      <c r="I73" s="2">
        <f t="shared" si="7"/>
        <v>19.3</v>
      </c>
      <c r="J73" s="2">
        <v>0.05</v>
      </c>
      <c r="K73" s="16">
        <f t="shared" si="8"/>
        <v>12.278600000000001</v>
      </c>
      <c r="N73" s="2"/>
    </row>
    <row r="74" spans="1:14" x14ac:dyDescent="0.2">
      <c r="A74" s="3">
        <v>6</v>
      </c>
      <c r="B74" s="3" t="s">
        <v>108</v>
      </c>
      <c r="C74" s="2" t="s">
        <v>136</v>
      </c>
      <c r="D74" t="s">
        <v>109</v>
      </c>
      <c r="E74" s="2">
        <v>0.9</v>
      </c>
      <c r="F74" s="2">
        <v>800</v>
      </c>
      <c r="G74" s="2">
        <v>0.01</v>
      </c>
      <c r="H74" s="2">
        <f t="shared" si="5"/>
        <v>21.590999999999998</v>
      </c>
      <c r="I74" s="2">
        <f t="shared" si="7"/>
        <v>8</v>
      </c>
      <c r="J74" s="2">
        <v>0.4</v>
      </c>
      <c r="K74" s="16">
        <f t="shared" si="8"/>
        <v>10.800714999999999</v>
      </c>
      <c r="M74" s="2">
        <v>1</v>
      </c>
    </row>
    <row r="75" spans="1:14" x14ac:dyDescent="0.2">
      <c r="A75" s="3">
        <v>6</v>
      </c>
      <c r="B75" s="3" t="s">
        <v>325</v>
      </c>
      <c r="C75" s="2" t="s">
        <v>136</v>
      </c>
      <c r="D75" s="2" t="s">
        <v>104</v>
      </c>
      <c r="E75" s="2">
        <f>L_watt</f>
        <v>0.5</v>
      </c>
      <c r="F75" s="2">
        <v>60</v>
      </c>
      <c r="G75" s="2">
        <v>0.05</v>
      </c>
      <c r="H75" s="2">
        <f t="shared" si="5"/>
        <v>11.975</v>
      </c>
      <c r="I75" s="2">
        <f t="shared" si="7"/>
        <v>3</v>
      </c>
      <c r="K75" s="16">
        <f t="shared" si="8"/>
        <v>5.4658749999999996</v>
      </c>
      <c r="M75" s="2">
        <v>2</v>
      </c>
      <c r="N75" s="2"/>
    </row>
    <row r="76" spans="1:14" x14ac:dyDescent="0.2">
      <c r="A76" s="3">
        <v>6</v>
      </c>
      <c r="B76" s="3" t="s">
        <v>101</v>
      </c>
      <c r="C76" s="2" t="s">
        <v>136</v>
      </c>
      <c r="D76" t="s">
        <v>104</v>
      </c>
      <c r="E76" s="2">
        <f>L_watt</f>
        <v>0.5</v>
      </c>
      <c r="F76" s="2">
        <v>60</v>
      </c>
      <c r="G76" s="2">
        <v>0</v>
      </c>
      <c r="H76" s="2">
        <f t="shared" si="5"/>
        <v>12</v>
      </c>
      <c r="I76" s="2">
        <f t="shared" si="7"/>
        <v>0</v>
      </c>
      <c r="K76" s="16">
        <f t="shared" si="8"/>
        <v>4.38</v>
      </c>
      <c r="M76" s="2">
        <v>2</v>
      </c>
    </row>
    <row r="77" spans="1:14" x14ac:dyDescent="0.2">
      <c r="A77" s="3">
        <v>6</v>
      </c>
      <c r="C77" s="2" t="s">
        <v>136</v>
      </c>
      <c r="D77" s="2" t="s">
        <v>118</v>
      </c>
      <c r="E77" s="2">
        <f>L_watt</f>
        <v>0.5</v>
      </c>
      <c r="H77" s="2">
        <f t="shared" si="5"/>
        <v>12</v>
      </c>
      <c r="I77" s="2">
        <f t="shared" si="7"/>
        <v>0</v>
      </c>
      <c r="K77" s="16">
        <f t="shared" si="8"/>
        <v>4.38</v>
      </c>
      <c r="N77" s="2"/>
    </row>
    <row r="78" spans="1:14" x14ac:dyDescent="0.2">
      <c r="A78" s="3">
        <v>6</v>
      </c>
      <c r="C78" s="2" t="s">
        <v>136</v>
      </c>
      <c r="D78" s="2" t="s">
        <v>161</v>
      </c>
      <c r="E78" s="2">
        <f>L_watt</f>
        <v>0.5</v>
      </c>
      <c r="H78" s="2">
        <f t="shared" si="5"/>
        <v>12</v>
      </c>
      <c r="I78" s="2">
        <f t="shared" si="7"/>
        <v>0</v>
      </c>
      <c r="K78" s="16">
        <f t="shared" si="8"/>
        <v>4.38</v>
      </c>
      <c r="N78" s="2"/>
    </row>
    <row r="79" spans="1:14" x14ac:dyDescent="0.2">
      <c r="A79" s="3">
        <v>6</v>
      </c>
      <c r="C79" s="2" t="s">
        <v>136</v>
      </c>
      <c r="D79" s="2" t="s">
        <v>116</v>
      </c>
      <c r="E79" s="2">
        <v>0</v>
      </c>
      <c r="F79" s="2" cm="1">
        <f t="array" ref="F79">2*2*58/NT</f>
        <v>257.77777777777777</v>
      </c>
      <c r="G79" s="2">
        <f>0.25/7</f>
        <v>3.5714285714285712E-2</v>
      </c>
      <c r="H79" s="2">
        <f t="shared" si="5"/>
        <v>0</v>
      </c>
      <c r="I79" s="2">
        <f t="shared" si="7"/>
        <v>9.2063492063492056</v>
      </c>
      <c r="K79" s="16">
        <f t="shared" si="8"/>
        <v>3.3603174603174604</v>
      </c>
      <c r="L79" s="2">
        <v>4</v>
      </c>
      <c r="N79" s="2"/>
    </row>
    <row r="80" spans="1:14" x14ac:dyDescent="0.2">
      <c r="A80" s="3">
        <v>6</v>
      </c>
      <c r="C80" s="2" t="s">
        <v>136</v>
      </c>
      <c r="D80" s="2" t="s">
        <v>115</v>
      </c>
      <c r="E80" s="2">
        <v>0</v>
      </c>
      <c r="F80" s="2">
        <f>2*58/NT</f>
        <v>128.88888888888889</v>
      </c>
      <c r="G80" s="2">
        <f>0.25/7</f>
        <v>3.5714285714285712E-2</v>
      </c>
      <c r="H80" s="2">
        <f t="shared" si="5"/>
        <v>0</v>
      </c>
      <c r="I80" s="2">
        <f t="shared" si="7"/>
        <v>4.6031746031746028</v>
      </c>
      <c r="K80" s="16">
        <f t="shared" si="8"/>
        <v>1.6801587301587302</v>
      </c>
      <c r="L80" s="2">
        <v>2</v>
      </c>
      <c r="N80" s="2"/>
    </row>
    <row r="81" spans="1:13" x14ac:dyDescent="0.2">
      <c r="A81" s="3">
        <v>6</v>
      </c>
      <c r="B81" s="3" t="s">
        <v>105</v>
      </c>
      <c r="C81" s="2" t="s">
        <v>136</v>
      </c>
      <c r="K81" s="16">
        <f t="shared" si="8"/>
        <v>0</v>
      </c>
      <c r="L81"/>
      <c r="M81" s="2">
        <v>2</v>
      </c>
    </row>
    <row r="82" spans="1:13" x14ac:dyDescent="0.2">
      <c r="A82" s="3">
        <v>6</v>
      </c>
      <c r="B82" s="3" t="s">
        <v>110</v>
      </c>
      <c r="C82" s="2" t="s">
        <v>136</v>
      </c>
      <c r="K82" s="16">
        <f t="shared" si="8"/>
        <v>0</v>
      </c>
      <c r="L82"/>
      <c r="M82" s="2">
        <v>1</v>
      </c>
    </row>
    <row r="83" spans="1:13" x14ac:dyDescent="0.2">
      <c r="A83" s="3">
        <v>6</v>
      </c>
      <c r="B83" s="3" t="s">
        <v>304</v>
      </c>
      <c r="C83" s="2" t="s">
        <v>44</v>
      </c>
      <c r="D83" t="s">
        <v>183</v>
      </c>
      <c r="E83" s="2">
        <f>L_watt</f>
        <v>0.5</v>
      </c>
      <c r="F83" s="2">
        <f>4*6/N</f>
        <v>32</v>
      </c>
      <c r="G83" s="2">
        <v>1</v>
      </c>
      <c r="H83" s="2">
        <f t="shared" ref="H83:H96" si="9">(24-G83)*E83</f>
        <v>11.5</v>
      </c>
      <c r="I83" s="2">
        <f t="shared" ref="I83:I96" si="10">G83*F83</f>
        <v>32</v>
      </c>
      <c r="K83" s="16">
        <f t="shared" si="8"/>
        <v>15.8775</v>
      </c>
      <c r="L83" s="2">
        <v>4</v>
      </c>
    </row>
    <row r="84" spans="1:13" x14ac:dyDescent="0.2">
      <c r="A84" s="3">
        <v>6</v>
      </c>
      <c r="B84" s="3" t="s">
        <v>305</v>
      </c>
      <c r="C84" s="2" t="s">
        <v>44</v>
      </c>
      <c r="D84" t="s">
        <v>289</v>
      </c>
      <c r="E84" s="2">
        <f>L_watt</f>
        <v>0.5</v>
      </c>
      <c r="F84" s="2">
        <v>32</v>
      </c>
      <c r="G84" s="2">
        <v>1</v>
      </c>
      <c r="H84" s="2">
        <f t="shared" si="9"/>
        <v>11.5</v>
      </c>
      <c r="I84" s="2">
        <f t="shared" si="10"/>
        <v>32</v>
      </c>
      <c r="K84" s="16">
        <f t="shared" si="8"/>
        <v>15.8775</v>
      </c>
      <c r="L84" s="2">
        <v>1</v>
      </c>
    </row>
    <row r="85" spans="1:13" x14ac:dyDescent="0.2">
      <c r="A85" s="3">
        <v>6</v>
      </c>
      <c r="B85" s="3" t="s">
        <v>54</v>
      </c>
      <c r="C85" s="2" t="s">
        <v>44</v>
      </c>
      <c r="D85" t="s">
        <v>56</v>
      </c>
      <c r="E85" s="2">
        <v>0.3</v>
      </c>
      <c r="F85" s="2">
        <v>36.5</v>
      </c>
      <c r="G85" s="2">
        <v>1</v>
      </c>
      <c r="H85" s="2">
        <f t="shared" si="9"/>
        <v>6.8999999999999995</v>
      </c>
      <c r="I85" s="2">
        <f t="shared" si="10"/>
        <v>36.5</v>
      </c>
      <c r="J85" s="2" t="s">
        <v>347</v>
      </c>
      <c r="K85" s="16">
        <f t="shared" si="8"/>
        <v>15.840999999999999</v>
      </c>
      <c r="M85" s="2">
        <v>4</v>
      </c>
    </row>
    <row r="86" spans="1:13" x14ac:dyDescent="0.2">
      <c r="A86" s="3">
        <v>6</v>
      </c>
      <c r="B86" s="3" t="s">
        <v>303</v>
      </c>
      <c r="C86" s="2" t="s">
        <v>44</v>
      </c>
      <c r="D86" t="s">
        <v>288</v>
      </c>
      <c r="E86" s="2">
        <f>L_watt</f>
        <v>0.5</v>
      </c>
      <c r="F86" s="2">
        <f>3*6/N</f>
        <v>24</v>
      </c>
      <c r="G86" s="2">
        <v>1</v>
      </c>
      <c r="H86" s="2">
        <f t="shared" si="9"/>
        <v>11.5</v>
      </c>
      <c r="I86" s="2">
        <f t="shared" si="10"/>
        <v>24</v>
      </c>
      <c r="K86" s="16">
        <f t="shared" si="8"/>
        <v>12.9575</v>
      </c>
      <c r="L86" s="2">
        <v>4</v>
      </c>
    </row>
    <row r="87" spans="1:13" x14ac:dyDescent="0.2">
      <c r="A87" s="3">
        <v>6</v>
      </c>
      <c r="B87" s="3" t="s">
        <v>54</v>
      </c>
      <c r="C87" s="2" t="s">
        <v>44</v>
      </c>
      <c r="D87" t="s">
        <v>57</v>
      </c>
      <c r="E87" s="2">
        <f>L_watt</f>
        <v>0.5</v>
      </c>
      <c r="H87" s="2">
        <f t="shared" si="9"/>
        <v>12</v>
      </c>
      <c r="I87" s="2">
        <f t="shared" si="10"/>
        <v>0</v>
      </c>
      <c r="K87" s="16">
        <f t="shared" si="8"/>
        <v>4.38</v>
      </c>
    </row>
    <row r="88" spans="1:13" x14ac:dyDescent="0.2">
      <c r="A88" s="3">
        <v>6</v>
      </c>
      <c r="B88" s="3" t="s">
        <v>55</v>
      </c>
      <c r="C88" s="2" t="s">
        <v>44</v>
      </c>
      <c r="D88" t="s">
        <v>58</v>
      </c>
      <c r="E88" s="2">
        <f>L_watt</f>
        <v>0.5</v>
      </c>
      <c r="H88" s="2">
        <f t="shared" si="9"/>
        <v>12</v>
      </c>
      <c r="I88" s="2">
        <f t="shared" si="10"/>
        <v>0</v>
      </c>
      <c r="K88" s="16">
        <f t="shared" si="8"/>
        <v>4.38</v>
      </c>
    </row>
    <row r="89" spans="1:13" x14ac:dyDescent="0.2">
      <c r="A89" s="3">
        <v>6</v>
      </c>
      <c r="B89" s="3" t="s">
        <v>55</v>
      </c>
      <c r="C89" s="2" t="s">
        <v>44</v>
      </c>
      <c r="D89" t="s">
        <v>59</v>
      </c>
      <c r="E89" s="2">
        <v>0</v>
      </c>
      <c r="F89" s="2">
        <v>11</v>
      </c>
      <c r="G89" s="2">
        <v>1</v>
      </c>
      <c r="H89" s="2">
        <f t="shared" si="9"/>
        <v>0</v>
      </c>
      <c r="I89" s="2">
        <f t="shared" si="10"/>
        <v>11</v>
      </c>
      <c r="J89" s="2">
        <v>0.01</v>
      </c>
      <c r="K89" s="16">
        <f t="shared" si="8"/>
        <v>4.0149999999999997</v>
      </c>
      <c r="M89" s="2">
        <v>4</v>
      </c>
    </row>
    <row r="90" spans="1:13" x14ac:dyDescent="0.2">
      <c r="A90" s="3">
        <v>6</v>
      </c>
      <c r="B90" s="3" t="s">
        <v>283</v>
      </c>
      <c r="C90" s="2" t="s">
        <v>46</v>
      </c>
      <c r="D90" t="s">
        <v>145</v>
      </c>
      <c r="E90" s="2">
        <f t="shared" ref="E90:E95" si="11">L_watt</f>
        <v>0.5</v>
      </c>
      <c r="F90" s="2">
        <f>3*6/N</f>
        <v>24</v>
      </c>
      <c r="G90" s="2">
        <v>3</v>
      </c>
      <c r="H90" s="2">
        <f t="shared" si="9"/>
        <v>10.5</v>
      </c>
      <c r="I90" s="2">
        <f t="shared" si="10"/>
        <v>72</v>
      </c>
      <c r="K90" s="16">
        <f t="shared" si="8"/>
        <v>30.112500000000001</v>
      </c>
      <c r="L90" s="2">
        <v>3</v>
      </c>
    </row>
    <row r="91" spans="1:13" x14ac:dyDescent="0.2">
      <c r="A91" s="3">
        <v>6</v>
      </c>
      <c r="B91" s="3" t="s">
        <v>285</v>
      </c>
      <c r="C91" s="2" t="s">
        <v>46</v>
      </c>
      <c r="D91" t="s">
        <v>144</v>
      </c>
      <c r="E91" s="2">
        <f t="shared" si="11"/>
        <v>0.5</v>
      </c>
      <c r="F91" s="2">
        <f>3*6/N</f>
        <v>24</v>
      </c>
      <c r="G91" s="2">
        <v>2</v>
      </c>
      <c r="H91" s="2">
        <f t="shared" si="9"/>
        <v>11</v>
      </c>
      <c r="I91" s="2">
        <f t="shared" si="10"/>
        <v>48</v>
      </c>
      <c r="K91" s="16">
        <f t="shared" si="8"/>
        <v>21.535</v>
      </c>
      <c r="L91" s="2">
        <v>3</v>
      </c>
    </row>
    <row r="92" spans="1:13" x14ac:dyDescent="0.2">
      <c r="A92" s="3">
        <v>6</v>
      </c>
      <c r="B92" s="3" t="s">
        <v>284</v>
      </c>
      <c r="C92" s="2" t="s">
        <v>46</v>
      </c>
      <c r="D92" t="s">
        <v>134</v>
      </c>
      <c r="E92" s="2">
        <f t="shared" si="11"/>
        <v>0.5</v>
      </c>
      <c r="F92" s="2">
        <f>3*6/N</f>
        <v>24</v>
      </c>
      <c r="G92" s="2">
        <v>0.75</v>
      </c>
      <c r="H92" s="2">
        <f t="shared" si="9"/>
        <v>11.625</v>
      </c>
      <c r="I92" s="2">
        <f t="shared" si="10"/>
        <v>18</v>
      </c>
      <c r="K92" s="16">
        <f t="shared" si="8"/>
        <v>10.813124999999999</v>
      </c>
      <c r="L92" s="2">
        <v>3</v>
      </c>
    </row>
    <row r="93" spans="1:13" x14ac:dyDescent="0.2">
      <c r="A93" s="3">
        <v>6</v>
      </c>
      <c r="B93" s="3" t="s">
        <v>286</v>
      </c>
      <c r="C93" s="2" t="s">
        <v>53</v>
      </c>
      <c r="D93" t="s">
        <v>82</v>
      </c>
      <c r="E93" s="2">
        <f t="shared" si="11"/>
        <v>0.5</v>
      </c>
      <c r="F93" s="2">
        <f>4*6/N</f>
        <v>32</v>
      </c>
      <c r="G93" s="2">
        <f>0.5</f>
        <v>0.5</v>
      </c>
      <c r="H93" s="2">
        <f t="shared" si="9"/>
        <v>11.75</v>
      </c>
      <c r="I93" s="2">
        <f t="shared" si="10"/>
        <v>16</v>
      </c>
      <c r="K93" s="16">
        <f t="shared" si="8"/>
        <v>10.12875</v>
      </c>
      <c r="L93" s="2">
        <v>4</v>
      </c>
    </row>
    <row r="94" spans="1:13" x14ac:dyDescent="0.2">
      <c r="A94" s="3">
        <v>6</v>
      </c>
      <c r="B94" s="3" t="s">
        <v>287</v>
      </c>
      <c r="C94" s="2" t="s">
        <v>53</v>
      </c>
      <c r="D94" t="s">
        <v>183</v>
      </c>
      <c r="E94" s="2">
        <f t="shared" si="11"/>
        <v>0.5</v>
      </c>
      <c r="F94" s="2">
        <f>4*6/N</f>
        <v>32</v>
      </c>
      <c r="G94" s="2">
        <v>0.25</v>
      </c>
      <c r="H94" s="2">
        <f t="shared" si="9"/>
        <v>11.875</v>
      </c>
      <c r="I94" s="2">
        <f t="shared" si="10"/>
        <v>8</v>
      </c>
      <c r="K94" s="16">
        <f t="shared" si="8"/>
        <v>7.2543749999999996</v>
      </c>
      <c r="L94" s="2">
        <v>4</v>
      </c>
    </row>
    <row r="95" spans="1:13" x14ac:dyDescent="0.2">
      <c r="A95" s="3">
        <v>6</v>
      </c>
      <c r="B95" s="3" t="s">
        <v>276</v>
      </c>
      <c r="C95" s="2" t="s">
        <v>53</v>
      </c>
      <c r="D95" t="s">
        <v>183</v>
      </c>
      <c r="E95" s="2">
        <f t="shared" si="11"/>
        <v>0.5</v>
      </c>
      <c r="F95" s="2">
        <f>4*6/N</f>
        <v>32</v>
      </c>
      <c r="G95" s="2">
        <v>0.25</v>
      </c>
      <c r="H95" s="2">
        <f t="shared" si="9"/>
        <v>11.875</v>
      </c>
      <c r="I95" s="2">
        <f t="shared" si="10"/>
        <v>8</v>
      </c>
      <c r="K95" s="16">
        <f t="shared" si="8"/>
        <v>7.2543749999999996</v>
      </c>
      <c r="L95" s="2">
        <v>4</v>
      </c>
    </row>
    <row r="96" spans="1:13" x14ac:dyDescent="0.2">
      <c r="A96" s="3">
        <v>6</v>
      </c>
      <c r="B96" s="3" t="s">
        <v>313</v>
      </c>
      <c r="C96" s="2" t="s">
        <v>53</v>
      </c>
      <c r="D96" t="s">
        <v>83</v>
      </c>
      <c r="E96" s="2">
        <v>0</v>
      </c>
      <c r="F96" s="34">
        <f>3*6</f>
        <v>18</v>
      </c>
      <c r="G96" s="2">
        <f>0.25/7</f>
        <v>3.5714285714285712E-2</v>
      </c>
      <c r="H96" s="2">
        <f t="shared" si="9"/>
        <v>0</v>
      </c>
      <c r="I96" s="2">
        <f t="shared" si="10"/>
        <v>0.64285714285714279</v>
      </c>
      <c r="K96" s="16">
        <f t="shared" si="8"/>
        <v>0.2346428571428571</v>
      </c>
      <c r="L96" s="2">
        <v>3</v>
      </c>
    </row>
    <row r="97" spans="1:14" x14ac:dyDescent="0.2">
      <c r="A97" s="3">
        <v>6</v>
      </c>
      <c r="B97" s="3" t="s">
        <v>79</v>
      </c>
      <c r="C97" s="2" t="s">
        <v>53</v>
      </c>
      <c r="K97" s="16">
        <f t="shared" si="8"/>
        <v>0</v>
      </c>
      <c r="L97"/>
      <c r="M97" s="2">
        <v>2</v>
      </c>
    </row>
    <row r="98" spans="1:14" x14ac:dyDescent="0.2">
      <c r="A98" s="3">
        <v>6</v>
      </c>
      <c r="B98" s="3" t="s">
        <v>280</v>
      </c>
      <c r="C98" s="2" t="s">
        <v>1</v>
      </c>
      <c r="D98" t="s">
        <v>281</v>
      </c>
      <c r="E98" s="2">
        <f>L_watt</f>
        <v>0.5</v>
      </c>
      <c r="F98" s="2">
        <f>4*6/N</f>
        <v>32</v>
      </c>
      <c r="G98" s="2">
        <v>2</v>
      </c>
      <c r="H98" s="2">
        <f t="shared" ref="H98:H103" si="12">(24-G98)*E98</f>
        <v>11</v>
      </c>
      <c r="I98" s="2">
        <f t="shared" ref="I98:I103" si="13">G98*F98</f>
        <v>64</v>
      </c>
      <c r="K98" s="16">
        <f t="shared" si="8"/>
        <v>27.375</v>
      </c>
      <c r="L98" s="2">
        <v>4</v>
      </c>
    </row>
    <row r="99" spans="1:14" x14ac:dyDescent="0.2">
      <c r="A99" s="3">
        <v>6</v>
      </c>
      <c r="B99" s="3" t="s">
        <v>282</v>
      </c>
      <c r="C99" s="2" t="s">
        <v>1</v>
      </c>
      <c r="D99" t="s">
        <v>295</v>
      </c>
      <c r="E99" s="2">
        <f>L_watt</f>
        <v>0.5</v>
      </c>
      <c r="F99" s="2">
        <f>2*6/N</f>
        <v>16</v>
      </c>
      <c r="G99" s="2">
        <v>0.5</v>
      </c>
      <c r="H99" s="2">
        <f t="shared" si="12"/>
        <v>11.75</v>
      </c>
      <c r="I99" s="2">
        <f t="shared" si="13"/>
        <v>8</v>
      </c>
      <c r="K99" s="16">
        <f t="shared" si="8"/>
        <v>7.2087500000000002</v>
      </c>
      <c r="L99" s="2">
        <v>2</v>
      </c>
    </row>
    <row r="100" spans="1:14" x14ac:dyDescent="0.2">
      <c r="A100" s="3">
        <v>7</v>
      </c>
      <c r="C100" s="2" t="s">
        <v>46</v>
      </c>
      <c r="D100" t="s">
        <v>78</v>
      </c>
      <c r="E100" s="2">
        <v>9</v>
      </c>
      <c r="F100" s="2">
        <v>3400</v>
      </c>
      <c r="G100" s="2">
        <v>0.15</v>
      </c>
      <c r="H100" s="2">
        <f t="shared" si="12"/>
        <v>214.65</v>
      </c>
      <c r="I100" s="2">
        <f t="shared" si="13"/>
        <v>510</v>
      </c>
      <c r="K100" s="16">
        <f t="shared" si="8"/>
        <v>264.49725000000001</v>
      </c>
      <c r="M100"/>
    </row>
    <row r="101" spans="1:14" x14ac:dyDescent="0.2">
      <c r="A101" s="3">
        <v>8</v>
      </c>
      <c r="C101" s="2" t="s">
        <v>46</v>
      </c>
      <c r="D101" t="s">
        <v>10</v>
      </c>
      <c r="E101" s="2">
        <v>10</v>
      </c>
      <c r="F101" s="2">
        <v>1600</v>
      </c>
      <c r="G101" s="2">
        <v>0.15</v>
      </c>
      <c r="H101" s="2">
        <f t="shared" si="12"/>
        <v>238.5</v>
      </c>
      <c r="I101" s="2">
        <f t="shared" si="13"/>
        <v>240</v>
      </c>
      <c r="K101" s="16">
        <f t="shared" si="8"/>
        <v>174.6525</v>
      </c>
      <c r="M101"/>
    </row>
    <row r="102" spans="1:14" x14ac:dyDescent="0.2">
      <c r="A102" s="3">
        <v>9</v>
      </c>
      <c r="B102" s="3" t="s">
        <v>294</v>
      </c>
      <c r="C102" s="2" t="s">
        <v>2</v>
      </c>
      <c r="D102" t="s">
        <v>183</v>
      </c>
      <c r="E102" s="2">
        <f>L_watt</f>
        <v>0.5</v>
      </c>
      <c r="F102" s="2">
        <f>4*6/N</f>
        <v>32</v>
      </c>
      <c r="G102" s="2">
        <f>0.75/14</f>
        <v>5.3571428571428568E-2</v>
      </c>
      <c r="H102" s="2">
        <f t="shared" si="12"/>
        <v>11.973214285714286</v>
      </c>
      <c r="I102" s="2">
        <f t="shared" si="13"/>
        <v>1.7142857142857142</v>
      </c>
      <c r="K102" s="16">
        <f t="shared" si="8"/>
        <v>4.9959375000000001</v>
      </c>
      <c r="L102" s="2">
        <v>4</v>
      </c>
    </row>
    <row r="103" spans="1:14" x14ac:dyDescent="0.2">
      <c r="A103" s="3">
        <v>9</v>
      </c>
      <c r="B103" s="3" t="s">
        <v>302</v>
      </c>
      <c r="C103" s="2" t="s">
        <v>2</v>
      </c>
      <c r="D103" t="s">
        <v>194</v>
      </c>
      <c r="E103" s="2">
        <v>0</v>
      </c>
      <c r="F103" s="2">
        <v>10</v>
      </c>
      <c r="G103" s="2">
        <v>0.75</v>
      </c>
      <c r="H103" s="2">
        <f t="shared" si="12"/>
        <v>0</v>
      </c>
      <c r="I103" s="2">
        <f t="shared" si="13"/>
        <v>7.5</v>
      </c>
      <c r="K103" s="16">
        <f t="shared" si="8"/>
        <v>2.7374999999999998</v>
      </c>
      <c r="L103" s="2">
        <v>2</v>
      </c>
    </row>
    <row r="104" spans="1:14" x14ac:dyDescent="0.2">
      <c r="A104" s="3">
        <v>9</v>
      </c>
      <c r="B104" s="3" t="s">
        <v>189</v>
      </c>
      <c r="C104" s="2" t="s">
        <v>2</v>
      </c>
      <c r="K104" s="16">
        <f t="shared" si="8"/>
        <v>0</v>
      </c>
      <c r="L104"/>
      <c r="M104" s="2">
        <v>2</v>
      </c>
    </row>
    <row r="105" spans="1:14" x14ac:dyDescent="0.2">
      <c r="A105" s="3">
        <v>9</v>
      </c>
      <c r="B105" s="3" t="s">
        <v>190</v>
      </c>
      <c r="C105" s="2" t="s">
        <v>2</v>
      </c>
      <c r="K105" s="16">
        <f t="shared" si="8"/>
        <v>0</v>
      </c>
      <c r="L105"/>
      <c r="M105" s="2">
        <v>2</v>
      </c>
    </row>
    <row r="106" spans="1:14" x14ac:dyDescent="0.2">
      <c r="A106" s="3">
        <v>9</v>
      </c>
      <c r="B106" s="3" t="s">
        <v>297</v>
      </c>
      <c r="C106" s="2" t="s">
        <v>51</v>
      </c>
      <c r="D106" s="2" t="s">
        <v>183</v>
      </c>
      <c r="E106" s="2">
        <f>L_watt</f>
        <v>0.5</v>
      </c>
      <c r="F106" s="2">
        <f>4*6/N</f>
        <v>32</v>
      </c>
      <c r="G106" s="2">
        <f>0.75</f>
        <v>0.75</v>
      </c>
      <c r="H106" s="2">
        <f t="shared" ref="H106:H124" si="14">(24-G106)*E106</f>
        <v>11.625</v>
      </c>
      <c r="I106" s="2">
        <f t="shared" ref="I106:I124" si="15">G106*F106</f>
        <v>24</v>
      </c>
      <c r="K106" s="16">
        <f t="shared" si="8"/>
        <v>13.003125000000001</v>
      </c>
      <c r="L106" s="2">
        <v>4</v>
      </c>
      <c r="N106" s="2"/>
    </row>
    <row r="107" spans="1:14" x14ac:dyDescent="0.2">
      <c r="A107" s="3">
        <v>9</v>
      </c>
      <c r="B107" s="3" t="s">
        <v>191</v>
      </c>
      <c r="C107" s="2" t="s">
        <v>51</v>
      </c>
      <c r="D107" s="2" t="s">
        <v>193</v>
      </c>
      <c r="E107" s="2">
        <f>L_watt</f>
        <v>0.5</v>
      </c>
      <c r="H107" s="2">
        <f t="shared" si="14"/>
        <v>12</v>
      </c>
      <c r="I107" s="2">
        <f t="shared" si="15"/>
        <v>0</v>
      </c>
      <c r="K107" s="16">
        <f t="shared" si="8"/>
        <v>4.38</v>
      </c>
      <c r="M107" s="2">
        <v>3</v>
      </c>
      <c r="N107" s="2"/>
    </row>
    <row r="108" spans="1:14" x14ac:dyDescent="0.2">
      <c r="A108" s="3">
        <v>9</v>
      </c>
      <c r="B108" s="3" t="s">
        <v>192</v>
      </c>
      <c r="C108" s="2" t="s">
        <v>51</v>
      </c>
      <c r="D108" s="2" t="s">
        <v>193</v>
      </c>
      <c r="E108" s="2">
        <f>L_watt</f>
        <v>0.5</v>
      </c>
      <c r="H108" s="2">
        <f t="shared" si="14"/>
        <v>12</v>
      </c>
      <c r="I108" s="2">
        <f t="shared" si="15"/>
        <v>0</v>
      </c>
      <c r="K108" s="16">
        <f t="shared" si="8"/>
        <v>4.38</v>
      </c>
      <c r="M108" s="2">
        <v>3</v>
      </c>
      <c r="N108" s="2"/>
    </row>
    <row r="109" spans="1:14" x14ac:dyDescent="0.2">
      <c r="A109" s="3">
        <v>9</v>
      </c>
      <c r="B109" s="3" t="s">
        <v>307</v>
      </c>
      <c r="C109" s="2" t="s">
        <v>51</v>
      </c>
      <c r="D109" s="2" t="s">
        <v>195</v>
      </c>
      <c r="E109" s="2">
        <v>0</v>
      </c>
      <c r="F109" s="2">
        <v>4</v>
      </c>
      <c r="G109" s="2">
        <v>0.5</v>
      </c>
      <c r="H109" s="2">
        <f t="shared" si="14"/>
        <v>0</v>
      </c>
      <c r="I109" s="2">
        <f t="shared" si="15"/>
        <v>2</v>
      </c>
      <c r="K109" s="16">
        <f t="shared" si="8"/>
        <v>0.73</v>
      </c>
      <c r="L109" s="2">
        <v>1</v>
      </c>
      <c r="N109" s="2"/>
    </row>
    <row r="110" spans="1:14" x14ac:dyDescent="0.2">
      <c r="A110" s="3">
        <v>9</v>
      </c>
      <c r="B110" s="3" t="s">
        <v>308</v>
      </c>
      <c r="C110" s="2" t="s">
        <v>51</v>
      </c>
      <c r="D110" s="2" t="s">
        <v>194</v>
      </c>
      <c r="E110" s="2">
        <v>0</v>
      </c>
      <c r="F110" s="2">
        <v>4</v>
      </c>
      <c r="G110" s="2">
        <v>0.5</v>
      </c>
      <c r="H110" s="2">
        <f t="shared" si="14"/>
        <v>0</v>
      </c>
      <c r="I110" s="2">
        <f t="shared" si="15"/>
        <v>2</v>
      </c>
      <c r="K110" s="16">
        <f t="shared" si="8"/>
        <v>0.73</v>
      </c>
      <c r="L110" s="2">
        <v>2</v>
      </c>
      <c r="N110" s="2"/>
    </row>
    <row r="111" spans="1:14" x14ac:dyDescent="0.2">
      <c r="A111" s="3">
        <v>9</v>
      </c>
      <c r="B111" s="3" t="s">
        <v>290</v>
      </c>
      <c r="C111" s="2" t="s">
        <v>47</v>
      </c>
      <c r="D111" t="s">
        <v>183</v>
      </c>
      <c r="E111" s="2">
        <f>L_watt</f>
        <v>0.5</v>
      </c>
      <c r="F111" s="2">
        <f>4*6/N</f>
        <v>32</v>
      </c>
      <c r="G111" s="2">
        <v>0</v>
      </c>
      <c r="H111" s="2">
        <f t="shared" si="14"/>
        <v>12</v>
      </c>
      <c r="I111" s="2">
        <f t="shared" si="15"/>
        <v>0</v>
      </c>
      <c r="K111" s="16">
        <f t="shared" si="8"/>
        <v>4.38</v>
      </c>
      <c r="L111" s="2">
        <v>4</v>
      </c>
    </row>
    <row r="112" spans="1:14" x14ac:dyDescent="0.2">
      <c r="A112" s="3">
        <v>9</v>
      </c>
      <c r="B112" s="3" t="s">
        <v>184</v>
      </c>
      <c r="C112" s="2" t="s">
        <v>47</v>
      </c>
      <c r="D112" t="s">
        <v>186</v>
      </c>
      <c r="E112" s="2">
        <v>0</v>
      </c>
      <c r="F112" s="2">
        <v>5</v>
      </c>
      <c r="G112" s="2">
        <v>0</v>
      </c>
      <c r="H112" s="2">
        <f t="shared" si="14"/>
        <v>0</v>
      </c>
      <c r="I112" s="2">
        <f t="shared" si="15"/>
        <v>0</v>
      </c>
      <c r="K112" s="16">
        <f t="shared" si="8"/>
        <v>0</v>
      </c>
      <c r="L112" s="2">
        <v>1</v>
      </c>
      <c r="M112" s="2">
        <v>2</v>
      </c>
    </row>
    <row r="113" spans="1:14" x14ac:dyDescent="0.2">
      <c r="A113" s="3">
        <v>9</v>
      </c>
      <c r="B113" s="3" t="s">
        <v>185</v>
      </c>
      <c r="C113" s="2" t="s">
        <v>47</v>
      </c>
      <c r="D113" t="s">
        <v>186</v>
      </c>
      <c r="E113" s="2">
        <v>0</v>
      </c>
      <c r="F113" s="2">
        <v>5</v>
      </c>
      <c r="G113" s="2">
        <v>0</v>
      </c>
      <c r="H113" s="2">
        <f t="shared" si="14"/>
        <v>0</v>
      </c>
      <c r="I113" s="2">
        <f t="shared" si="15"/>
        <v>0</v>
      </c>
      <c r="K113" s="16">
        <f t="shared" si="8"/>
        <v>0</v>
      </c>
      <c r="L113" s="2">
        <v>1</v>
      </c>
      <c r="M113" s="2">
        <v>2</v>
      </c>
    </row>
    <row r="114" spans="1:14" x14ac:dyDescent="0.2">
      <c r="A114" s="3">
        <v>9</v>
      </c>
      <c r="B114" s="3" t="s">
        <v>196</v>
      </c>
      <c r="C114" s="2" t="s">
        <v>49</v>
      </c>
      <c r="D114" s="2" t="s">
        <v>359</v>
      </c>
      <c r="E114" s="2">
        <v>4.5</v>
      </c>
      <c r="H114" s="2">
        <f t="shared" si="14"/>
        <v>108</v>
      </c>
      <c r="I114" s="2">
        <f t="shared" si="15"/>
        <v>0</v>
      </c>
      <c r="K114" s="16">
        <f t="shared" si="8"/>
        <v>39.42</v>
      </c>
      <c r="M114" s="2">
        <v>3</v>
      </c>
      <c r="N114" s="2"/>
    </row>
    <row r="115" spans="1:14" x14ac:dyDescent="0.2">
      <c r="A115" s="3">
        <v>9</v>
      </c>
      <c r="B115" s="3" t="s">
        <v>197</v>
      </c>
      <c r="C115" s="2" t="s">
        <v>49</v>
      </c>
      <c r="D115" s="2" t="s">
        <v>360</v>
      </c>
      <c r="E115" s="2">
        <v>4.5</v>
      </c>
      <c r="H115" s="2">
        <f t="shared" si="14"/>
        <v>108</v>
      </c>
      <c r="I115" s="2">
        <f t="shared" si="15"/>
        <v>0</v>
      </c>
      <c r="K115" s="16">
        <f t="shared" si="8"/>
        <v>39.42</v>
      </c>
      <c r="M115" s="2">
        <v>3</v>
      </c>
      <c r="N115" s="2"/>
    </row>
    <row r="116" spans="1:14" x14ac:dyDescent="0.2">
      <c r="A116" s="3">
        <v>9</v>
      </c>
      <c r="B116" s="3" t="s">
        <v>292</v>
      </c>
      <c r="C116" s="2" t="s">
        <v>49</v>
      </c>
      <c r="D116" s="2" t="s">
        <v>288</v>
      </c>
      <c r="E116" s="2">
        <f>L_watt</f>
        <v>0.5</v>
      </c>
      <c r="F116" s="2">
        <f>3*6/N</f>
        <v>24</v>
      </c>
      <c r="G116" s="2">
        <v>0.5</v>
      </c>
      <c r="H116" s="2">
        <f t="shared" si="14"/>
        <v>11.75</v>
      </c>
      <c r="I116" s="2">
        <f t="shared" si="15"/>
        <v>12</v>
      </c>
      <c r="K116" s="16">
        <f t="shared" si="8"/>
        <v>8.6687499999999993</v>
      </c>
      <c r="L116" s="2">
        <v>3</v>
      </c>
      <c r="N116" s="2"/>
    </row>
    <row r="117" spans="1:14" x14ac:dyDescent="0.2">
      <c r="A117" s="3">
        <v>9</v>
      </c>
      <c r="B117" s="3" t="s">
        <v>293</v>
      </c>
      <c r="C117" s="2" t="s">
        <v>49</v>
      </c>
      <c r="D117" s="2" t="s">
        <v>288</v>
      </c>
      <c r="E117" s="2">
        <f>L_watt</f>
        <v>0.5</v>
      </c>
      <c r="F117" s="2">
        <f>3*6/N</f>
        <v>24</v>
      </c>
      <c r="G117" s="2">
        <v>0.5</v>
      </c>
      <c r="H117" s="2">
        <f t="shared" si="14"/>
        <v>11.75</v>
      </c>
      <c r="I117" s="2">
        <f t="shared" si="15"/>
        <v>12</v>
      </c>
      <c r="K117" s="16">
        <f t="shared" si="8"/>
        <v>8.6687499999999993</v>
      </c>
      <c r="L117" s="2">
        <v>3</v>
      </c>
      <c r="N117" s="2"/>
    </row>
    <row r="118" spans="1:14" x14ac:dyDescent="0.2">
      <c r="A118" s="3">
        <v>9</v>
      </c>
      <c r="B118" s="3" t="s">
        <v>198</v>
      </c>
      <c r="C118" s="2" t="s">
        <v>49</v>
      </c>
      <c r="D118" s="2" t="s">
        <v>170</v>
      </c>
      <c r="E118" s="2">
        <v>0.3</v>
      </c>
      <c r="F118" s="2">
        <v>52.5</v>
      </c>
      <c r="G118" s="2">
        <v>0.1</v>
      </c>
      <c r="H118" s="2">
        <f t="shared" si="14"/>
        <v>7.169999999999999</v>
      </c>
      <c r="I118" s="2">
        <f t="shared" si="15"/>
        <v>5.25</v>
      </c>
      <c r="K118" s="16">
        <f t="shared" si="8"/>
        <v>4.5332999999999997</v>
      </c>
      <c r="M118" s="2">
        <v>2</v>
      </c>
      <c r="N118" s="2"/>
    </row>
    <row r="119" spans="1:14" x14ac:dyDescent="0.2">
      <c r="A119" s="3">
        <v>9</v>
      </c>
      <c r="B119" s="3" t="s">
        <v>196</v>
      </c>
      <c r="C119" s="2" t="s">
        <v>49</v>
      </c>
      <c r="D119" s="2" t="s">
        <v>199</v>
      </c>
      <c r="E119" s="2">
        <v>0</v>
      </c>
      <c r="F119" s="2">
        <v>5</v>
      </c>
      <c r="G119" s="2">
        <f>0.25/7</f>
        <v>3.5714285714285712E-2</v>
      </c>
      <c r="H119" s="2">
        <f t="shared" si="14"/>
        <v>0</v>
      </c>
      <c r="I119" s="2">
        <f t="shared" si="15"/>
        <v>0.17857142857142855</v>
      </c>
      <c r="K119" s="16">
        <f t="shared" si="8"/>
        <v>6.5178571428571419E-2</v>
      </c>
      <c r="L119" s="2">
        <v>1</v>
      </c>
      <c r="M119" s="2">
        <v>3</v>
      </c>
      <c r="N119" s="2"/>
    </row>
    <row r="120" spans="1:14" x14ac:dyDescent="0.2">
      <c r="A120" s="3">
        <v>9</v>
      </c>
      <c r="B120" s="3" t="s">
        <v>197</v>
      </c>
      <c r="C120" s="2" t="s">
        <v>49</v>
      </c>
      <c r="D120" s="2" t="s">
        <v>200</v>
      </c>
      <c r="E120" s="2">
        <v>0</v>
      </c>
      <c r="F120" s="2">
        <v>5</v>
      </c>
      <c r="G120" s="2">
        <v>0</v>
      </c>
      <c r="H120" s="2">
        <f t="shared" si="14"/>
        <v>0</v>
      </c>
      <c r="I120" s="2">
        <f t="shared" si="15"/>
        <v>0</v>
      </c>
      <c r="K120" s="16">
        <f t="shared" si="8"/>
        <v>0</v>
      </c>
      <c r="L120" s="2">
        <v>1</v>
      </c>
      <c r="N120" s="2"/>
    </row>
    <row r="121" spans="1:14" x14ac:dyDescent="0.2">
      <c r="A121" s="3">
        <v>9</v>
      </c>
      <c r="C121" s="2" t="s">
        <v>230</v>
      </c>
      <c r="D121" s="2" t="s">
        <v>118</v>
      </c>
      <c r="E121" s="2">
        <f>L_watt</f>
        <v>0.5</v>
      </c>
      <c r="H121" s="2">
        <f t="shared" si="14"/>
        <v>12</v>
      </c>
      <c r="I121" s="2">
        <f t="shared" si="15"/>
        <v>0</v>
      </c>
      <c r="K121" s="16">
        <f t="shared" si="8"/>
        <v>4.38</v>
      </c>
      <c r="N121" s="2"/>
    </row>
    <row r="122" spans="1:14" x14ac:dyDescent="0.2">
      <c r="A122" s="3">
        <v>9</v>
      </c>
      <c r="C122" s="2" t="s">
        <v>230</v>
      </c>
      <c r="D122" s="2" t="s">
        <v>178</v>
      </c>
      <c r="E122" s="2">
        <v>0</v>
      </c>
      <c r="F122" s="2">
        <f>4*6/N</f>
        <v>32</v>
      </c>
      <c r="G122" s="2">
        <f>0.25/4</f>
        <v>6.25E-2</v>
      </c>
      <c r="H122" s="2">
        <f t="shared" si="14"/>
        <v>0</v>
      </c>
      <c r="I122" s="2">
        <f t="shared" si="15"/>
        <v>2</v>
      </c>
      <c r="K122" s="16">
        <f t="shared" si="8"/>
        <v>0.73</v>
      </c>
      <c r="L122" s="2">
        <v>2</v>
      </c>
      <c r="N122" s="2"/>
    </row>
    <row r="123" spans="1:14" x14ac:dyDescent="0.2">
      <c r="A123" s="3">
        <v>10</v>
      </c>
      <c r="B123" s="3" t="s">
        <v>180</v>
      </c>
      <c r="C123" s="2" t="s">
        <v>48</v>
      </c>
      <c r="D123" t="s">
        <v>182</v>
      </c>
      <c r="E123" s="2">
        <v>3</v>
      </c>
      <c r="F123" s="2">
        <v>4.7</v>
      </c>
      <c r="G123" s="2">
        <v>0.05</v>
      </c>
      <c r="H123" s="2">
        <f t="shared" si="14"/>
        <v>71.849999999999994</v>
      </c>
      <c r="I123" s="2">
        <f t="shared" si="15"/>
        <v>0.23500000000000001</v>
      </c>
      <c r="K123" s="16">
        <f t="shared" si="8"/>
        <v>26.311024999999997</v>
      </c>
      <c r="M123" s="2">
        <v>2</v>
      </c>
    </row>
    <row r="124" spans="1:14" x14ac:dyDescent="0.2">
      <c r="A124" s="3">
        <v>10</v>
      </c>
      <c r="B124" s="3" t="s">
        <v>291</v>
      </c>
      <c r="C124" s="2" t="s">
        <v>48</v>
      </c>
      <c r="D124" t="s">
        <v>183</v>
      </c>
      <c r="E124" s="2">
        <f>L_watt</f>
        <v>0.5</v>
      </c>
      <c r="F124" s="2">
        <f>4*6/N</f>
        <v>32</v>
      </c>
      <c r="G124" s="2">
        <v>0</v>
      </c>
      <c r="H124" s="2">
        <f t="shared" si="14"/>
        <v>12</v>
      </c>
      <c r="I124" s="2">
        <f t="shared" si="15"/>
        <v>0</v>
      </c>
      <c r="K124" s="16">
        <f t="shared" si="8"/>
        <v>4.38</v>
      </c>
      <c r="L124" s="2">
        <v>4</v>
      </c>
    </row>
    <row r="125" spans="1:14" x14ac:dyDescent="0.2">
      <c r="A125" s="3">
        <v>10</v>
      </c>
      <c r="B125" s="3" t="s">
        <v>181</v>
      </c>
      <c r="C125" s="2" t="s">
        <v>48</v>
      </c>
      <c r="K125" s="16">
        <f t="shared" si="8"/>
        <v>0</v>
      </c>
      <c r="L125"/>
      <c r="M125" s="2">
        <v>2</v>
      </c>
    </row>
    <row r="126" spans="1:14" x14ac:dyDescent="0.2">
      <c r="A126" s="3">
        <v>11</v>
      </c>
      <c r="C126" s="2" t="s">
        <v>46</v>
      </c>
      <c r="D126" t="s">
        <v>348</v>
      </c>
      <c r="E126" s="2">
        <v>11</v>
      </c>
      <c r="F126" s="2">
        <v>2000</v>
      </c>
      <c r="G126" s="2">
        <v>0.15</v>
      </c>
      <c r="H126" s="2">
        <f t="shared" ref="H126:H159" si="16">(24-G126)*E126</f>
        <v>262.35000000000002</v>
      </c>
      <c r="I126" s="2">
        <f t="shared" ref="I126:I151" si="17">G126*F126</f>
        <v>300</v>
      </c>
      <c r="K126" s="16">
        <f t="shared" si="8"/>
        <v>205.25774999999999</v>
      </c>
      <c r="M126"/>
    </row>
    <row r="127" spans="1:14" x14ac:dyDescent="0.2">
      <c r="A127" s="3">
        <v>12</v>
      </c>
      <c r="B127" s="3" t="s">
        <v>272</v>
      </c>
      <c r="C127" s="2" t="s">
        <v>2</v>
      </c>
      <c r="D127" t="s">
        <v>262</v>
      </c>
      <c r="E127" s="2">
        <f t="shared" ref="E127:E138" si="18">L_watt</f>
        <v>0.5</v>
      </c>
      <c r="F127" s="2">
        <f>S_watt</f>
        <v>160</v>
      </c>
      <c r="G127" s="2">
        <f>DS</f>
        <v>4.1666666666666664E-2</v>
      </c>
      <c r="H127" s="2">
        <f t="shared" si="16"/>
        <v>11.979166666666666</v>
      </c>
      <c r="I127" s="2">
        <f t="shared" si="17"/>
        <v>6.6666666666666661</v>
      </c>
      <c r="K127" s="16">
        <f t="shared" si="8"/>
        <v>6.8057291666666657</v>
      </c>
    </row>
    <row r="128" spans="1:14" x14ac:dyDescent="0.2">
      <c r="A128" s="3">
        <v>12</v>
      </c>
      <c r="B128" s="3" t="s">
        <v>269</v>
      </c>
      <c r="C128" s="2" t="s">
        <v>51</v>
      </c>
      <c r="D128" t="s">
        <v>270</v>
      </c>
      <c r="E128" s="2">
        <f t="shared" si="18"/>
        <v>0.5</v>
      </c>
      <c r="F128" s="2">
        <f>S_watt</f>
        <v>160</v>
      </c>
      <c r="G128" s="2">
        <f>DS</f>
        <v>4.1666666666666664E-2</v>
      </c>
      <c r="H128" s="2">
        <f t="shared" si="16"/>
        <v>11.979166666666666</v>
      </c>
      <c r="I128" s="2">
        <f t="shared" si="17"/>
        <v>6.6666666666666661</v>
      </c>
      <c r="K128" s="16">
        <f t="shared" si="8"/>
        <v>6.8057291666666657</v>
      </c>
    </row>
    <row r="129" spans="1:14" x14ac:dyDescent="0.2">
      <c r="A129" s="3">
        <v>12</v>
      </c>
      <c r="B129" s="3" t="s">
        <v>306</v>
      </c>
      <c r="C129" s="2" t="s">
        <v>46</v>
      </c>
      <c r="D129" t="s">
        <v>258</v>
      </c>
      <c r="E129" s="2">
        <f t="shared" si="18"/>
        <v>0.5</v>
      </c>
      <c r="F129" s="2">
        <f>S_watt</f>
        <v>160</v>
      </c>
      <c r="G129" s="2">
        <f>DS</f>
        <v>4.1666666666666664E-2</v>
      </c>
      <c r="H129" s="2">
        <f t="shared" si="16"/>
        <v>11.979166666666666</v>
      </c>
      <c r="I129" s="2">
        <f t="shared" si="17"/>
        <v>6.6666666666666661</v>
      </c>
      <c r="K129" s="16">
        <f t="shared" si="8"/>
        <v>6.8057291666666657</v>
      </c>
    </row>
    <row r="130" spans="1:14" x14ac:dyDescent="0.2">
      <c r="A130" s="3">
        <v>12</v>
      </c>
      <c r="C130" s="2" t="s">
        <v>50</v>
      </c>
      <c r="D130" t="s">
        <v>12</v>
      </c>
      <c r="E130" s="2">
        <f t="shared" si="18"/>
        <v>0.5</v>
      </c>
      <c r="H130" s="2">
        <f t="shared" si="16"/>
        <v>12</v>
      </c>
      <c r="I130" s="2">
        <f t="shared" si="17"/>
        <v>0</v>
      </c>
      <c r="K130" s="16">
        <f t="shared" ref="K130:K193" si="19">(H130+I130)*365/1000</f>
        <v>4.38</v>
      </c>
      <c r="M130"/>
    </row>
    <row r="131" spans="1:14" x14ac:dyDescent="0.2">
      <c r="A131" s="3">
        <v>12</v>
      </c>
      <c r="B131" s="3" t="s">
        <v>261</v>
      </c>
      <c r="C131" s="2" t="s">
        <v>49</v>
      </c>
      <c r="D131" t="s">
        <v>262</v>
      </c>
      <c r="E131" s="2">
        <f t="shared" si="18"/>
        <v>0.5</v>
      </c>
      <c r="F131" s="2">
        <f t="shared" ref="F131:F138" si="20">S_watt</f>
        <v>160</v>
      </c>
      <c r="G131" s="2">
        <f t="shared" ref="G131:G138" si="21">DS</f>
        <v>4.1666666666666664E-2</v>
      </c>
      <c r="H131" s="2">
        <f t="shared" si="16"/>
        <v>11.979166666666666</v>
      </c>
      <c r="I131" s="2">
        <f t="shared" si="17"/>
        <v>6.6666666666666661</v>
      </c>
      <c r="K131" s="16">
        <f t="shared" si="19"/>
        <v>6.8057291666666657</v>
      </c>
    </row>
    <row r="132" spans="1:14" x14ac:dyDescent="0.2">
      <c r="A132" s="3">
        <v>12</v>
      </c>
      <c r="B132" s="3" t="s">
        <v>271</v>
      </c>
      <c r="C132" s="2" t="s">
        <v>49</v>
      </c>
      <c r="D132" t="s">
        <v>270</v>
      </c>
      <c r="E132" s="2">
        <f t="shared" si="18"/>
        <v>0.5</v>
      </c>
      <c r="F132" s="2">
        <f t="shared" si="20"/>
        <v>160</v>
      </c>
      <c r="G132" s="2">
        <f t="shared" si="21"/>
        <v>4.1666666666666664E-2</v>
      </c>
      <c r="H132" s="2">
        <f t="shared" si="16"/>
        <v>11.979166666666666</v>
      </c>
      <c r="I132" s="2">
        <f t="shared" si="17"/>
        <v>6.6666666666666661</v>
      </c>
      <c r="K132" s="16">
        <f t="shared" si="19"/>
        <v>6.8057291666666657</v>
      </c>
    </row>
    <row r="133" spans="1:14" x14ac:dyDescent="0.2">
      <c r="A133" s="3">
        <v>12</v>
      </c>
      <c r="B133" s="3" t="s">
        <v>256</v>
      </c>
      <c r="C133" s="2" t="s">
        <v>1</v>
      </c>
      <c r="D133" s="2" t="s">
        <v>257</v>
      </c>
      <c r="E133" s="2">
        <f t="shared" si="18"/>
        <v>0.5</v>
      </c>
      <c r="F133" s="2">
        <f t="shared" si="20"/>
        <v>160</v>
      </c>
      <c r="G133" s="2">
        <f t="shared" si="21"/>
        <v>4.1666666666666664E-2</v>
      </c>
      <c r="H133" s="2">
        <f t="shared" si="16"/>
        <v>11.979166666666666</v>
      </c>
      <c r="I133" s="2">
        <f t="shared" si="17"/>
        <v>6.6666666666666661</v>
      </c>
      <c r="K133" s="16">
        <f t="shared" si="19"/>
        <v>6.8057291666666657</v>
      </c>
      <c r="N133" s="2"/>
    </row>
    <row r="134" spans="1:14" x14ac:dyDescent="0.2">
      <c r="A134" s="3">
        <v>12</v>
      </c>
      <c r="B134" s="3" t="s">
        <v>259</v>
      </c>
      <c r="C134" s="2" t="s">
        <v>1</v>
      </c>
      <c r="D134" s="2" t="s">
        <v>260</v>
      </c>
      <c r="E134" s="2">
        <f t="shared" si="18"/>
        <v>0.5</v>
      </c>
      <c r="F134" s="2">
        <f t="shared" si="20"/>
        <v>160</v>
      </c>
      <c r="G134" s="2">
        <f t="shared" si="21"/>
        <v>4.1666666666666664E-2</v>
      </c>
      <c r="H134" s="2">
        <f t="shared" si="16"/>
        <v>11.979166666666666</v>
      </c>
      <c r="I134" s="2">
        <f t="shared" si="17"/>
        <v>6.6666666666666661</v>
      </c>
      <c r="K134" s="16">
        <f t="shared" si="19"/>
        <v>6.8057291666666657</v>
      </c>
      <c r="N134" s="2"/>
    </row>
    <row r="135" spans="1:14" x14ac:dyDescent="0.2">
      <c r="A135" s="3">
        <v>12</v>
      </c>
      <c r="B135" s="3" t="s">
        <v>318</v>
      </c>
      <c r="C135" s="2" t="s">
        <v>1</v>
      </c>
      <c r="D135" s="2" t="s">
        <v>258</v>
      </c>
      <c r="E135" s="2">
        <f t="shared" si="18"/>
        <v>0.5</v>
      </c>
      <c r="F135" s="2">
        <f t="shared" si="20"/>
        <v>160</v>
      </c>
      <c r="G135" s="2">
        <f t="shared" si="21"/>
        <v>4.1666666666666664E-2</v>
      </c>
      <c r="H135" s="2">
        <f t="shared" si="16"/>
        <v>11.979166666666666</v>
      </c>
      <c r="I135" s="2">
        <f t="shared" si="17"/>
        <v>6.6666666666666661</v>
      </c>
      <c r="K135" s="16">
        <f t="shared" si="19"/>
        <v>6.8057291666666657</v>
      </c>
      <c r="N135" s="2"/>
    </row>
    <row r="136" spans="1:14" x14ac:dyDescent="0.2">
      <c r="A136" s="3">
        <v>12</v>
      </c>
      <c r="B136" s="3" t="s">
        <v>319</v>
      </c>
      <c r="C136" s="2" t="s">
        <v>1</v>
      </c>
      <c r="D136" s="2" t="s">
        <v>258</v>
      </c>
      <c r="E136" s="2">
        <f t="shared" si="18"/>
        <v>0.5</v>
      </c>
      <c r="F136" s="2">
        <f t="shared" si="20"/>
        <v>160</v>
      </c>
      <c r="G136" s="2">
        <f t="shared" si="21"/>
        <v>4.1666666666666664E-2</v>
      </c>
      <c r="H136" s="2">
        <f t="shared" si="16"/>
        <v>11.979166666666666</v>
      </c>
      <c r="I136" s="2">
        <f t="shared" si="17"/>
        <v>6.6666666666666661</v>
      </c>
      <c r="K136" s="16">
        <f t="shared" si="19"/>
        <v>6.8057291666666657</v>
      </c>
      <c r="N136" s="2"/>
    </row>
    <row r="137" spans="1:14" x14ac:dyDescent="0.2">
      <c r="A137" s="3">
        <v>12</v>
      </c>
      <c r="B137" s="3" t="s">
        <v>320</v>
      </c>
      <c r="C137" s="2" t="s">
        <v>1</v>
      </c>
      <c r="D137" s="2" t="s">
        <v>258</v>
      </c>
      <c r="E137" s="2">
        <f t="shared" si="18"/>
        <v>0.5</v>
      </c>
      <c r="F137" s="2">
        <f t="shared" si="20"/>
        <v>160</v>
      </c>
      <c r="G137" s="2">
        <f t="shared" si="21"/>
        <v>4.1666666666666664E-2</v>
      </c>
      <c r="H137" s="2">
        <f t="shared" si="16"/>
        <v>11.979166666666666</v>
      </c>
      <c r="I137" s="2">
        <f t="shared" si="17"/>
        <v>6.6666666666666661</v>
      </c>
      <c r="K137" s="16">
        <f t="shared" si="19"/>
        <v>6.8057291666666657</v>
      </c>
      <c r="N137" s="2"/>
    </row>
    <row r="138" spans="1:14" x14ac:dyDescent="0.2">
      <c r="A138" s="3">
        <v>12</v>
      </c>
      <c r="B138" s="3" t="s">
        <v>321</v>
      </c>
      <c r="C138" s="2" t="s">
        <v>1</v>
      </c>
      <c r="D138" s="2" t="s">
        <v>258</v>
      </c>
      <c r="E138" s="2">
        <f t="shared" si="18"/>
        <v>0.5</v>
      </c>
      <c r="F138" s="2">
        <f t="shared" si="20"/>
        <v>160</v>
      </c>
      <c r="G138" s="2">
        <f t="shared" si="21"/>
        <v>4.1666666666666664E-2</v>
      </c>
      <c r="H138" s="2">
        <f t="shared" si="16"/>
        <v>11.979166666666666</v>
      </c>
      <c r="I138" s="2">
        <f t="shared" si="17"/>
        <v>6.6666666666666661</v>
      </c>
      <c r="K138" s="16">
        <f t="shared" si="19"/>
        <v>6.8057291666666657</v>
      </c>
      <c r="N138" s="2"/>
    </row>
    <row r="139" spans="1:14" x14ac:dyDescent="0.2">
      <c r="A139" s="3">
        <v>13</v>
      </c>
      <c r="B139" s="3" t="s">
        <v>127</v>
      </c>
      <c r="C139" s="2" t="s">
        <v>50</v>
      </c>
      <c r="D139" s="2" t="s">
        <v>129</v>
      </c>
      <c r="E139" s="2">
        <v>3.2</v>
      </c>
      <c r="H139" s="2">
        <f t="shared" si="16"/>
        <v>76.800000000000011</v>
      </c>
      <c r="I139" s="2">
        <f t="shared" si="17"/>
        <v>0</v>
      </c>
      <c r="J139" s="2">
        <v>0.55000000000000004</v>
      </c>
      <c r="K139" s="16">
        <f t="shared" si="19"/>
        <v>28.032000000000004</v>
      </c>
      <c r="M139" s="2">
        <v>4</v>
      </c>
      <c r="N139" s="2"/>
    </row>
    <row r="140" spans="1:14" x14ac:dyDescent="0.2">
      <c r="A140" s="3">
        <v>13</v>
      </c>
      <c r="B140" s="3" t="s">
        <v>127</v>
      </c>
      <c r="C140" s="2" t="s">
        <v>50</v>
      </c>
      <c r="D140" s="2" t="s">
        <v>232</v>
      </c>
      <c r="E140" s="2">
        <f t="shared" ref="E140:E150" si="22">L_watt</f>
        <v>0.5</v>
      </c>
      <c r="F140" s="2">
        <v>3.6</v>
      </c>
      <c r="G140" s="2">
        <v>0.25</v>
      </c>
      <c r="H140" s="2">
        <f t="shared" si="16"/>
        <v>11.875</v>
      </c>
      <c r="I140" s="2">
        <f t="shared" si="17"/>
        <v>0.9</v>
      </c>
      <c r="J140" s="2">
        <v>0.5</v>
      </c>
      <c r="K140" s="16">
        <f t="shared" si="19"/>
        <v>4.6628749999999997</v>
      </c>
      <c r="N140" s="2"/>
    </row>
    <row r="141" spans="1:14" x14ac:dyDescent="0.2">
      <c r="A141" s="3">
        <v>13</v>
      </c>
      <c r="B141" s="3" t="s">
        <v>127</v>
      </c>
      <c r="C141" s="2" t="s">
        <v>50</v>
      </c>
      <c r="D141" s="2" t="s">
        <v>128</v>
      </c>
      <c r="E141" s="2">
        <f t="shared" si="22"/>
        <v>0.5</v>
      </c>
      <c r="H141" s="2">
        <f t="shared" si="16"/>
        <v>12</v>
      </c>
      <c r="I141" s="2">
        <f t="shared" si="17"/>
        <v>0</v>
      </c>
      <c r="K141" s="16">
        <f t="shared" si="19"/>
        <v>4.38</v>
      </c>
      <c r="N141" s="2"/>
    </row>
    <row r="142" spans="1:14" x14ac:dyDescent="0.2">
      <c r="A142" s="3">
        <v>13</v>
      </c>
      <c r="B142" s="3" t="s">
        <v>127</v>
      </c>
      <c r="C142" s="2" t="s">
        <v>50</v>
      </c>
      <c r="D142" s="2" t="s">
        <v>130</v>
      </c>
      <c r="E142" s="2">
        <f t="shared" si="22"/>
        <v>0.5</v>
      </c>
      <c r="H142" s="2">
        <f t="shared" si="16"/>
        <v>12</v>
      </c>
      <c r="I142" s="2">
        <f t="shared" si="17"/>
        <v>0</v>
      </c>
      <c r="K142" s="16">
        <f t="shared" si="19"/>
        <v>4.38</v>
      </c>
      <c r="N142" s="2"/>
    </row>
    <row r="143" spans="1:14" x14ac:dyDescent="0.2">
      <c r="A143" s="3">
        <v>13</v>
      </c>
      <c r="B143" s="3" t="s">
        <v>127</v>
      </c>
      <c r="C143" s="2" t="s">
        <v>50</v>
      </c>
      <c r="D143" s="2" t="s">
        <v>131</v>
      </c>
      <c r="E143" s="2">
        <f t="shared" si="22"/>
        <v>0.5</v>
      </c>
      <c r="H143" s="2">
        <f t="shared" si="16"/>
        <v>12</v>
      </c>
      <c r="I143" s="2">
        <f t="shared" si="17"/>
        <v>0</v>
      </c>
      <c r="K143" s="16">
        <f t="shared" si="19"/>
        <v>4.38</v>
      </c>
      <c r="N143" s="2"/>
    </row>
    <row r="144" spans="1:14" x14ac:dyDescent="0.2">
      <c r="A144" s="3">
        <v>13</v>
      </c>
      <c r="B144" s="3" t="s">
        <v>127</v>
      </c>
      <c r="C144" s="2" t="s">
        <v>50</v>
      </c>
      <c r="D144" s="2" t="s">
        <v>353</v>
      </c>
      <c r="E144" s="2">
        <f t="shared" si="22"/>
        <v>0.5</v>
      </c>
      <c r="H144" s="2">
        <f t="shared" si="16"/>
        <v>12</v>
      </c>
      <c r="I144" s="2">
        <f t="shared" si="17"/>
        <v>0</v>
      </c>
      <c r="K144" s="16">
        <f t="shared" si="19"/>
        <v>4.38</v>
      </c>
      <c r="N144" s="2"/>
    </row>
    <row r="145" spans="1:14" x14ac:dyDescent="0.2">
      <c r="A145" s="3">
        <v>13</v>
      </c>
      <c r="B145" s="3" t="s">
        <v>127</v>
      </c>
      <c r="C145" s="2" t="s">
        <v>50</v>
      </c>
      <c r="D145" s="2" t="s">
        <v>233</v>
      </c>
      <c r="E145" s="2">
        <f t="shared" si="22"/>
        <v>0.5</v>
      </c>
      <c r="H145" s="2">
        <f t="shared" si="16"/>
        <v>12</v>
      </c>
      <c r="I145" s="2">
        <f t="shared" si="17"/>
        <v>0</v>
      </c>
      <c r="K145" s="16">
        <f t="shared" si="19"/>
        <v>4.38</v>
      </c>
      <c r="N145" s="2"/>
    </row>
    <row r="146" spans="1:14" x14ac:dyDescent="0.2">
      <c r="A146" s="3">
        <v>13</v>
      </c>
      <c r="C146" s="2" t="s">
        <v>50</v>
      </c>
      <c r="D146" t="s">
        <v>137</v>
      </c>
      <c r="E146" s="2">
        <f t="shared" si="22"/>
        <v>0.5</v>
      </c>
      <c r="H146" s="2">
        <f t="shared" si="16"/>
        <v>12</v>
      </c>
      <c r="I146" s="2">
        <f t="shared" si="17"/>
        <v>0</v>
      </c>
      <c r="K146" s="16">
        <f t="shared" si="19"/>
        <v>4.38</v>
      </c>
      <c r="M146"/>
    </row>
    <row r="147" spans="1:14" x14ac:dyDescent="0.2">
      <c r="A147" s="3">
        <v>13</v>
      </c>
      <c r="B147" s="3" t="s">
        <v>254</v>
      </c>
      <c r="C147" s="2" t="s">
        <v>47</v>
      </c>
      <c r="D147" s="2" t="s">
        <v>263</v>
      </c>
      <c r="E147" s="2">
        <f t="shared" si="22"/>
        <v>0.5</v>
      </c>
      <c r="F147" s="2">
        <f>S_watt</f>
        <v>160</v>
      </c>
      <c r="G147" s="2">
        <f>DS</f>
        <v>4.1666666666666664E-2</v>
      </c>
      <c r="H147" s="2">
        <f t="shared" si="16"/>
        <v>11.979166666666666</v>
      </c>
      <c r="I147" s="2">
        <f t="shared" si="17"/>
        <v>6.6666666666666661</v>
      </c>
      <c r="K147" s="16">
        <f t="shared" si="19"/>
        <v>6.8057291666666657</v>
      </c>
      <c r="N147" s="2"/>
    </row>
    <row r="148" spans="1:14" x14ac:dyDescent="0.2">
      <c r="A148" s="3">
        <v>13</v>
      </c>
      <c r="B148" s="3" t="s">
        <v>255</v>
      </c>
      <c r="C148" s="2" t="s">
        <v>47</v>
      </c>
      <c r="D148" s="2" t="s">
        <v>264</v>
      </c>
      <c r="E148" s="2">
        <f t="shared" si="22"/>
        <v>0.5</v>
      </c>
      <c r="F148" s="2">
        <f>S_watt</f>
        <v>160</v>
      </c>
      <c r="G148" s="2">
        <f>DS</f>
        <v>4.1666666666666664E-2</v>
      </c>
      <c r="H148" s="2">
        <f t="shared" si="16"/>
        <v>11.979166666666666</v>
      </c>
      <c r="I148" s="2">
        <f t="shared" si="17"/>
        <v>6.6666666666666661</v>
      </c>
      <c r="K148" s="16">
        <f t="shared" si="19"/>
        <v>6.8057291666666657</v>
      </c>
      <c r="N148" s="2"/>
    </row>
    <row r="149" spans="1:14" x14ac:dyDescent="0.2">
      <c r="A149" s="3">
        <v>13</v>
      </c>
      <c r="B149" s="3" t="s">
        <v>265</v>
      </c>
      <c r="C149" s="2" t="s">
        <v>47</v>
      </c>
      <c r="D149" s="2" t="s">
        <v>267</v>
      </c>
      <c r="E149" s="2">
        <f t="shared" si="22"/>
        <v>0.5</v>
      </c>
      <c r="F149" s="2">
        <f>S_watt</f>
        <v>160</v>
      </c>
      <c r="G149" s="2">
        <f>DS</f>
        <v>4.1666666666666664E-2</v>
      </c>
      <c r="H149" s="2">
        <f t="shared" si="16"/>
        <v>11.979166666666666</v>
      </c>
      <c r="I149" s="2">
        <f t="shared" si="17"/>
        <v>6.6666666666666661</v>
      </c>
      <c r="K149" s="16">
        <f t="shared" si="19"/>
        <v>6.8057291666666657</v>
      </c>
      <c r="N149" s="2"/>
    </row>
    <row r="150" spans="1:14" x14ac:dyDescent="0.2">
      <c r="A150" s="3">
        <v>13</v>
      </c>
      <c r="B150" s="3" t="s">
        <v>266</v>
      </c>
      <c r="C150" s="2" t="s">
        <v>47</v>
      </c>
      <c r="D150" s="2" t="s">
        <v>268</v>
      </c>
      <c r="E150" s="2">
        <f t="shared" si="22"/>
        <v>0.5</v>
      </c>
      <c r="F150" s="2">
        <f>S_watt</f>
        <v>160</v>
      </c>
      <c r="G150" s="2">
        <f>DS</f>
        <v>4.1666666666666664E-2</v>
      </c>
      <c r="H150" s="2">
        <f t="shared" si="16"/>
        <v>11.979166666666666</v>
      </c>
      <c r="I150" s="2">
        <f t="shared" si="17"/>
        <v>6.6666666666666661</v>
      </c>
      <c r="K150" s="16">
        <f t="shared" si="19"/>
        <v>6.8057291666666657</v>
      </c>
      <c r="N150" s="2"/>
    </row>
    <row r="151" spans="1:14" x14ac:dyDescent="0.2">
      <c r="A151" s="3">
        <v>14</v>
      </c>
      <c r="C151" s="2" t="s">
        <v>50</v>
      </c>
      <c r="D151" t="s">
        <v>13</v>
      </c>
      <c r="E151" s="2">
        <f>375/24</f>
        <v>15.625</v>
      </c>
      <c r="F151" s="2">
        <f>1300*1000/(21*365)</f>
        <v>169.60208741030658</v>
      </c>
      <c r="G151" s="2">
        <v>3</v>
      </c>
      <c r="H151" s="2">
        <f t="shared" si="16"/>
        <v>328.125</v>
      </c>
      <c r="I151" s="2">
        <f t="shared" si="17"/>
        <v>508.80626223091974</v>
      </c>
      <c r="K151" s="16">
        <f t="shared" si="19"/>
        <v>305.47991071428567</v>
      </c>
      <c r="M151"/>
    </row>
    <row r="152" spans="1:14" x14ac:dyDescent="0.2">
      <c r="A152" s="3">
        <v>14</v>
      </c>
      <c r="C152" s="2" t="s">
        <v>50</v>
      </c>
      <c r="D152" t="s">
        <v>374</v>
      </c>
      <c r="E152" s="2">
        <f>L_watt</f>
        <v>0.5</v>
      </c>
      <c r="H152" s="2">
        <f t="shared" si="16"/>
        <v>12</v>
      </c>
      <c r="K152" s="16">
        <f t="shared" si="19"/>
        <v>4.38</v>
      </c>
      <c r="M152"/>
    </row>
    <row r="153" spans="1:14" x14ac:dyDescent="0.2">
      <c r="A153" s="3">
        <v>15</v>
      </c>
      <c r="C153" s="2" t="s">
        <v>50</v>
      </c>
      <c r="D153" s="2" t="s">
        <v>375</v>
      </c>
      <c r="E153" s="2">
        <f>L_watt</f>
        <v>0.5</v>
      </c>
      <c r="H153" s="2">
        <f t="shared" si="16"/>
        <v>12</v>
      </c>
      <c r="K153" s="16">
        <f t="shared" si="19"/>
        <v>4.38</v>
      </c>
      <c r="M153"/>
    </row>
    <row r="154" spans="1:14" x14ac:dyDescent="0.2">
      <c r="A154" s="3">
        <v>15</v>
      </c>
      <c r="B154" s="3" t="s">
        <v>251</v>
      </c>
      <c r="C154" s="2" t="s">
        <v>50</v>
      </c>
      <c r="D154" s="2" t="s">
        <v>132</v>
      </c>
      <c r="E154" s="2">
        <v>0</v>
      </c>
      <c r="F154" s="2">
        <v>53.6</v>
      </c>
      <c r="G154" s="2">
        <v>5</v>
      </c>
      <c r="H154" s="2">
        <f t="shared" si="16"/>
        <v>0</v>
      </c>
      <c r="I154" s="2">
        <f t="shared" ref="I154:I159" si="23">G154*F154</f>
        <v>268</v>
      </c>
      <c r="J154" s="2">
        <v>0.85</v>
      </c>
      <c r="K154" s="16">
        <f t="shared" si="19"/>
        <v>97.82</v>
      </c>
      <c r="M154" s="2">
        <v>2</v>
      </c>
      <c r="N154" s="2"/>
    </row>
    <row r="155" spans="1:14" x14ac:dyDescent="0.2">
      <c r="A155" s="3">
        <v>15</v>
      </c>
      <c r="B155" s="3" t="s">
        <v>89</v>
      </c>
      <c r="C155" s="2" t="s">
        <v>52</v>
      </c>
      <c r="D155" t="s">
        <v>36</v>
      </c>
      <c r="E155" s="2">
        <v>100</v>
      </c>
      <c r="H155" s="2">
        <f t="shared" si="16"/>
        <v>2400</v>
      </c>
      <c r="I155" s="2">
        <f t="shared" si="23"/>
        <v>0</v>
      </c>
      <c r="K155" s="16">
        <f t="shared" si="19"/>
        <v>876</v>
      </c>
      <c r="N155" t="s">
        <v>245</v>
      </c>
    </row>
    <row r="156" spans="1:14" x14ac:dyDescent="0.2">
      <c r="A156" s="3">
        <v>15</v>
      </c>
      <c r="B156" s="3" t="s">
        <v>89</v>
      </c>
      <c r="C156" s="2" t="s">
        <v>52</v>
      </c>
      <c r="D156" t="s">
        <v>95</v>
      </c>
      <c r="E156" s="2">
        <v>52</v>
      </c>
      <c r="H156" s="2">
        <f t="shared" si="16"/>
        <v>1248</v>
      </c>
      <c r="I156" s="2">
        <f t="shared" si="23"/>
        <v>0</v>
      </c>
      <c r="J156" s="2">
        <v>0.98</v>
      </c>
      <c r="K156" s="16">
        <f t="shared" si="19"/>
        <v>455.52</v>
      </c>
      <c r="M156" s="2">
        <v>4</v>
      </c>
    </row>
    <row r="157" spans="1:14" x14ac:dyDescent="0.2">
      <c r="A157" s="3">
        <v>15</v>
      </c>
      <c r="B157" s="3" t="s">
        <v>90</v>
      </c>
      <c r="C157" s="2" t="s">
        <v>52</v>
      </c>
      <c r="D157" t="s">
        <v>96</v>
      </c>
      <c r="E157" s="2">
        <v>12.7</v>
      </c>
      <c r="F157" s="2">
        <v>25.5</v>
      </c>
      <c r="G157" s="2">
        <v>0.25</v>
      </c>
      <c r="H157" s="2">
        <f t="shared" si="16"/>
        <v>301.625</v>
      </c>
      <c r="I157" s="2">
        <f t="shared" si="23"/>
        <v>6.375</v>
      </c>
      <c r="J157" s="2">
        <v>0.6</v>
      </c>
      <c r="K157" s="16">
        <f t="shared" si="19"/>
        <v>112.42</v>
      </c>
      <c r="M157" s="2">
        <v>2</v>
      </c>
    </row>
    <row r="158" spans="1:14" x14ac:dyDescent="0.2">
      <c r="A158" s="3">
        <v>15</v>
      </c>
      <c r="B158" s="3" t="s">
        <v>314</v>
      </c>
      <c r="C158" s="2" t="s">
        <v>52</v>
      </c>
      <c r="D158" t="s">
        <v>123</v>
      </c>
      <c r="E158" s="2">
        <v>0</v>
      </c>
      <c r="F158" s="2">
        <f>2*5</f>
        <v>10</v>
      </c>
      <c r="G158" s="2">
        <v>4</v>
      </c>
      <c r="H158" s="2">
        <f t="shared" si="16"/>
        <v>0</v>
      </c>
      <c r="I158" s="2">
        <f t="shared" si="23"/>
        <v>40</v>
      </c>
      <c r="K158" s="16">
        <f t="shared" si="19"/>
        <v>14.6</v>
      </c>
      <c r="L158" s="2">
        <v>2</v>
      </c>
    </row>
    <row r="159" spans="1:14" x14ac:dyDescent="0.2">
      <c r="A159" s="3">
        <v>15</v>
      </c>
      <c r="C159" s="2" t="s">
        <v>52</v>
      </c>
      <c r="D159" t="s">
        <v>97</v>
      </c>
      <c r="E159" s="2">
        <v>0</v>
      </c>
      <c r="F159" s="2">
        <v>10</v>
      </c>
      <c r="G159" s="2">
        <f>0.25/4</f>
        <v>6.25E-2</v>
      </c>
      <c r="H159" s="2">
        <f t="shared" si="16"/>
        <v>0</v>
      </c>
      <c r="I159" s="2">
        <f t="shared" si="23"/>
        <v>0.625</v>
      </c>
      <c r="K159" s="16">
        <f t="shared" si="19"/>
        <v>0.22812499999999999</v>
      </c>
      <c r="L159" s="2">
        <v>1</v>
      </c>
      <c r="M159"/>
    </row>
    <row r="160" spans="1:14" x14ac:dyDescent="0.2">
      <c r="A160" s="3">
        <v>15</v>
      </c>
      <c r="B160" s="3" t="s">
        <v>91</v>
      </c>
      <c r="C160" s="2" t="s">
        <v>52</v>
      </c>
      <c r="K160" s="16">
        <f t="shared" si="19"/>
        <v>0</v>
      </c>
      <c r="L160"/>
      <c r="M160" s="2">
        <v>1</v>
      </c>
    </row>
    <row r="161" spans="1:13" x14ac:dyDescent="0.2">
      <c r="A161" s="3">
        <v>15</v>
      </c>
      <c r="B161" s="3" t="s">
        <v>92</v>
      </c>
      <c r="C161" s="2" t="s">
        <v>52</v>
      </c>
      <c r="K161" s="16">
        <f t="shared" si="19"/>
        <v>0</v>
      </c>
      <c r="L161"/>
      <c r="M161" s="2">
        <v>2</v>
      </c>
    </row>
    <row r="162" spans="1:13" x14ac:dyDescent="0.2">
      <c r="A162" s="3">
        <v>15</v>
      </c>
      <c r="B162" s="3" t="s">
        <v>93</v>
      </c>
      <c r="C162" s="2" t="s">
        <v>52</v>
      </c>
      <c r="K162" s="16">
        <f t="shared" si="19"/>
        <v>0</v>
      </c>
      <c r="L162"/>
      <c r="M162" s="2">
        <v>2</v>
      </c>
    </row>
    <row r="163" spans="1:13" x14ac:dyDescent="0.2">
      <c r="A163" s="3">
        <v>15</v>
      </c>
      <c r="B163" s="3" t="s">
        <v>94</v>
      </c>
      <c r="C163" s="2" t="s">
        <v>52</v>
      </c>
      <c r="K163" s="16">
        <f t="shared" si="19"/>
        <v>0</v>
      </c>
      <c r="L163"/>
      <c r="M163" s="2">
        <v>2</v>
      </c>
    </row>
    <row r="164" spans="1:13" x14ac:dyDescent="0.2">
      <c r="A164" s="3">
        <v>15</v>
      </c>
      <c r="C164" s="2" t="s">
        <v>98</v>
      </c>
      <c r="D164" t="s">
        <v>135</v>
      </c>
      <c r="E164" s="2">
        <f>L_watt</f>
        <v>0.5</v>
      </c>
      <c r="F164" s="2">
        <v>10</v>
      </c>
      <c r="G164" s="2">
        <f>0.25/4</f>
        <v>6.25E-2</v>
      </c>
      <c r="H164" s="2">
        <f t="shared" ref="H164:H173" si="24">(24-G164)*E164</f>
        <v>11.96875</v>
      </c>
      <c r="I164" s="2">
        <f>G164*F164</f>
        <v>0.625</v>
      </c>
      <c r="K164" s="16">
        <f t="shared" si="19"/>
        <v>4.59671875</v>
      </c>
      <c r="L164" s="2">
        <v>1</v>
      </c>
      <c r="M164"/>
    </row>
    <row r="165" spans="1:13" x14ac:dyDescent="0.2">
      <c r="A165" s="3">
        <v>15</v>
      </c>
      <c r="B165" s="3" t="s">
        <v>99</v>
      </c>
      <c r="C165" s="2" t="s">
        <v>98</v>
      </c>
      <c r="D165" t="s">
        <v>100</v>
      </c>
      <c r="E165" s="2">
        <v>0</v>
      </c>
      <c r="F165" s="2">
        <v>5</v>
      </c>
      <c r="G165" s="2">
        <v>0.1</v>
      </c>
      <c r="H165" s="2">
        <f t="shared" si="24"/>
        <v>0</v>
      </c>
      <c r="I165" s="2">
        <f>G165*F165</f>
        <v>0.5</v>
      </c>
      <c r="K165" s="16">
        <f t="shared" si="19"/>
        <v>0.1825</v>
      </c>
      <c r="M165" s="2">
        <v>2</v>
      </c>
    </row>
    <row r="166" spans="1:13" x14ac:dyDescent="0.2">
      <c r="A166" s="3">
        <v>16</v>
      </c>
      <c r="C166" s="2" t="s">
        <v>50</v>
      </c>
      <c r="D166" s="2" t="s">
        <v>375</v>
      </c>
      <c r="E166" s="2">
        <f>L_watt</f>
        <v>0.5</v>
      </c>
      <c r="H166" s="2">
        <f t="shared" si="24"/>
        <v>12</v>
      </c>
      <c r="K166" s="16">
        <f t="shared" si="19"/>
        <v>4.38</v>
      </c>
      <c r="M166"/>
    </row>
    <row r="167" spans="1:13" ht="15" customHeight="1" x14ac:dyDescent="0.2">
      <c r="A167" s="3">
        <v>16</v>
      </c>
      <c r="C167" s="2" t="s">
        <v>46</v>
      </c>
      <c r="D167" t="s">
        <v>352</v>
      </c>
      <c r="E167" s="2">
        <f>225*1000/(24*365)</f>
        <v>25.684931506849313</v>
      </c>
      <c r="H167" s="2">
        <f t="shared" si="24"/>
        <v>616.43835616438355</v>
      </c>
      <c r="I167" s="2">
        <f t="shared" ref="I167:I173" si="25">G167*F167</f>
        <v>0</v>
      </c>
      <c r="K167" s="16">
        <f t="shared" si="19"/>
        <v>225</v>
      </c>
      <c r="M167"/>
    </row>
    <row r="168" spans="1:13" ht="15" customHeight="1" x14ac:dyDescent="0.2">
      <c r="A168" s="3">
        <v>16</v>
      </c>
      <c r="B168" s="3" t="s">
        <v>71</v>
      </c>
      <c r="C168" s="2" t="s">
        <v>46</v>
      </c>
      <c r="D168" t="s">
        <v>75</v>
      </c>
      <c r="E168" s="2">
        <v>0</v>
      </c>
      <c r="F168" s="2">
        <v>1100</v>
      </c>
      <c r="G168" s="2">
        <v>0.25</v>
      </c>
      <c r="H168" s="2">
        <f t="shared" si="24"/>
        <v>0</v>
      </c>
      <c r="I168" s="2">
        <f t="shared" si="25"/>
        <v>275</v>
      </c>
      <c r="K168" s="16">
        <f t="shared" si="19"/>
        <v>100.375</v>
      </c>
      <c r="M168" s="2">
        <v>2</v>
      </c>
    </row>
    <row r="169" spans="1:13" ht="15" customHeight="1" x14ac:dyDescent="0.2">
      <c r="A169" s="3">
        <v>16</v>
      </c>
      <c r="B169" s="3" t="s">
        <v>279</v>
      </c>
      <c r="C169" s="2" t="s">
        <v>46</v>
      </c>
      <c r="D169" t="s">
        <v>278</v>
      </c>
      <c r="E169" s="2">
        <f>L_watt</f>
        <v>0.5</v>
      </c>
      <c r="F169" s="2">
        <v>72</v>
      </c>
      <c r="G169" s="2">
        <v>2.5</v>
      </c>
      <c r="H169" s="2">
        <f t="shared" si="24"/>
        <v>10.75</v>
      </c>
      <c r="I169" s="2">
        <f t="shared" si="25"/>
        <v>180</v>
      </c>
      <c r="K169" s="16">
        <f t="shared" si="19"/>
        <v>69.623750000000001</v>
      </c>
      <c r="L169" s="2">
        <v>1</v>
      </c>
    </row>
    <row r="170" spans="1:13" ht="15" customHeight="1" x14ac:dyDescent="0.2">
      <c r="A170" s="3">
        <v>16</v>
      </c>
      <c r="B170" s="3" t="s">
        <v>72</v>
      </c>
      <c r="C170" s="2" t="s">
        <v>46</v>
      </c>
      <c r="D170" t="s">
        <v>76</v>
      </c>
      <c r="E170" s="2">
        <v>0</v>
      </c>
      <c r="F170" s="2">
        <v>1000</v>
      </c>
      <c r="G170" s="2">
        <f>3/60</f>
        <v>0.05</v>
      </c>
      <c r="H170" s="2">
        <f t="shared" si="24"/>
        <v>0</v>
      </c>
      <c r="I170" s="2">
        <f t="shared" si="25"/>
        <v>50</v>
      </c>
      <c r="K170" s="16">
        <f t="shared" si="19"/>
        <v>18.25</v>
      </c>
      <c r="M170" s="2">
        <v>2</v>
      </c>
    </row>
    <row r="171" spans="1:13" ht="15" customHeight="1" x14ac:dyDescent="0.2">
      <c r="A171" s="3">
        <v>16</v>
      </c>
      <c r="B171" s="3" t="s">
        <v>309</v>
      </c>
      <c r="C171" s="2" t="s">
        <v>46</v>
      </c>
      <c r="D171" t="s">
        <v>133</v>
      </c>
      <c r="E171" s="2">
        <f>L_watt</f>
        <v>0.5</v>
      </c>
      <c r="F171" s="2">
        <v>12</v>
      </c>
      <c r="G171" s="2">
        <v>2.5</v>
      </c>
      <c r="H171" s="2">
        <f t="shared" si="24"/>
        <v>10.75</v>
      </c>
      <c r="I171" s="2">
        <f t="shared" si="25"/>
        <v>30</v>
      </c>
      <c r="K171" s="16">
        <f t="shared" si="19"/>
        <v>14.873749999999999</v>
      </c>
      <c r="L171" s="2">
        <v>2</v>
      </c>
    </row>
    <row r="172" spans="1:13" ht="15" customHeight="1" x14ac:dyDescent="0.2">
      <c r="A172" s="3">
        <v>16</v>
      </c>
      <c r="B172" s="3" t="s">
        <v>74</v>
      </c>
      <c r="C172" s="2" t="s">
        <v>46</v>
      </c>
      <c r="D172" t="s">
        <v>77</v>
      </c>
      <c r="E172" s="2">
        <f>L_watt</f>
        <v>0.5</v>
      </c>
      <c r="F172" s="2">
        <v>5</v>
      </c>
      <c r="G172" s="2">
        <v>3</v>
      </c>
      <c r="H172" s="2">
        <f t="shared" si="24"/>
        <v>10.5</v>
      </c>
      <c r="I172" s="2">
        <f t="shared" si="25"/>
        <v>15</v>
      </c>
      <c r="K172" s="16">
        <f t="shared" si="19"/>
        <v>9.3074999999999992</v>
      </c>
      <c r="M172" s="2">
        <v>2</v>
      </c>
    </row>
    <row r="173" spans="1:13" ht="15" customHeight="1" x14ac:dyDescent="0.2">
      <c r="A173" s="3">
        <v>16</v>
      </c>
      <c r="B173" s="3" t="s">
        <v>74</v>
      </c>
      <c r="C173" s="2" t="s">
        <v>46</v>
      </c>
      <c r="D173" t="s">
        <v>77</v>
      </c>
      <c r="E173" s="2">
        <f>L_watt</f>
        <v>0.5</v>
      </c>
      <c r="F173" s="2">
        <v>5</v>
      </c>
      <c r="G173" s="2">
        <v>3</v>
      </c>
      <c r="H173" s="2">
        <f t="shared" si="24"/>
        <v>10.5</v>
      </c>
      <c r="I173" s="2">
        <f t="shared" si="25"/>
        <v>15</v>
      </c>
      <c r="K173" s="16">
        <f t="shared" si="19"/>
        <v>9.3074999999999992</v>
      </c>
    </row>
    <row r="174" spans="1:13" ht="15" customHeight="1" x14ac:dyDescent="0.2">
      <c r="A174" s="3">
        <v>16</v>
      </c>
      <c r="B174" s="3" t="s">
        <v>73</v>
      </c>
      <c r="C174" s="2" t="s">
        <v>46</v>
      </c>
      <c r="K174" s="16">
        <f t="shared" si="19"/>
        <v>0</v>
      </c>
      <c r="L174"/>
      <c r="M174" s="2">
        <v>2</v>
      </c>
    </row>
    <row r="175" spans="1:13" ht="15" customHeight="1" x14ac:dyDescent="0.2">
      <c r="A175" s="3">
        <v>16</v>
      </c>
      <c r="B175" s="3" t="s">
        <v>80</v>
      </c>
      <c r="C175" s="2" t="s">
        <v>53</v>
      </c>
      <c r="K175" s="16">
        <f t="shared" si="19"/>
        <v>0</v>
      </c>
      <c r="L175"/>
      <c r="M175" s="2">
        <v>2</v>
      </c>
    </row>
    <row r="176" spans="1:13" ht="15" customHeight="1" x14ac:dyDescent="0.2">
      <c r="A176" s="3">
        <v>16</v>
      </c>
      <c r="B176" s="3" t="s">
        <v>81</v>
      </c>
      <c r="C176" s="2" t="s">
        <v>53</v>
      </c>
      <c r="K176" s="16">
        <f t="shared" si="19"/>
        <v>0</v>
      </c>
      <c r="L176"/>
      <c r="M176" s="2">
        <v>2</v>
      </c>
    </row>
    <row r="177" spans="1:14" ht="15" customHeight="1" x14ac:dyDescent="0.2">
      <c r="A177" s="3">
        <v>16</v>
      </c>
      <c r="B177" s="3" t="s">
        <v>62</v>
      </c>
      <c r="C177" s="2" t="s">
        <v>1</v>
      </c>
      <c r="D177" t="s">
        <v>31</v>
      </c>
      <c r="E177" s="2">
        <v>0.3</v>
      </c>
      <c r="F177" s="2">
        <v>52.5</v>
      </c>
      <c r="G177" s="2">
        <v>1</v>
      </c>
      <c r="H177" s="2">
        <f t="shared" ref="H177:H185" si="26">(24-G177)*E177</f>
        <v>6.8999999999999995</v>
      </c>
      <c r="I177" s="2">
        <f t="shared" ref="I177:I185" si="27">G177*F177</f>
        <v>52.5</v>
      </c>
      <c r="J177" s="2" t="s">
        <v>238</v>
      </c>
      <c r="K177" s="16">
        <f t="shared" si="19"/>
        <v>21.681000000000001</v>
      </c>
    </row>
    <row r="178" spans="1:14" ht="15" customHeight="1" x14ac:dyDescent="0.2">
      <c r="A178" s="3">
        <v>16</v>
      </c>
      <c r="B178" s="3" t="s">
        <v>62</v>
      </c>
      <c r="C178" s="2" t="s">
        <v>1</v>
      </c>
      <c r="D178" t="s">
        <v>236</v>
      </c>
      <c r="E178" s="2">
        <v>1.1000000000000001</v>
      </c>
      <c r="F178" s="2">
        <v>4.9000000000000004</v>
      </c>
      <c r="G178" s="2">
        <v>1</v>
      </c>
      <c r="H178" s="2">
        <f t="shared" si="26"/>
        <v>25.3</v>
      </c>
      <c r="I178" s="2">
        <f t="shared" si="27"/>
        <v>4.9000000000000004</v>
      </c>
      <c r="J178" s="2" t="s">
        <v>240</v>
      </c>
      <c r="K178" s="16">
        <f t="shared" si="19"/>
        <v>11.023000000000001</v>
      </c>
    </row>
    <row r="179" spans="1:14" ht="15" customHeight="1" x14ac:dyDescent="0.2">
      <c r="A179" s="3">
        <v>16</v>
      </c>
      <c r="B179" s="3" t="s">
        <v>252</v>
      </c>
      <c r="C179" s="2" t="s">
        <v>1</v>
      </c>
      <c r="D179" t="s">
        <v>248</v>
      </c>
      <c r="E179" s="2">
        <v>0</v>
      </c>
      <c r="F179" s="2">
        <f>2*8</f>
        <v>16</v>
      </c>
      <c r="G179" s="2">
        <v>1.5</v>
      </c>
      <c r="H179" s="2">
        <f t="shared" si="26"/>
        <v>0</v>
      </c>
      <c r="I179" s="2">
        <f t="shared" si="27"/>
        <v>24</v>
      </c>
      <c r="K179" s="16">
        <f t="shared" si="19"/>
        <v>8.76</v>
      </c>
      <c r="L179" s="2">
        <v>2</v>
      </c>
    </row>
    <row r="180" spans="1:14" ht="15" customHeight="1" x14ac:dyDescent="0.2">
      <c r="A180" s="3">
        <v>16</v>
      </c>
      <c r="B180" s="3" t="s">
        <v>62</v>
      </c>
      <c r="C180" s="2" t="s">
        <v>1</v>
      </c>
      <c r="D180" t="s">
        <v>235</v>
      </c>
      <c r="E180" s="2">
        <v>0.8</v>
      </c>
      <c r="F180" s="2">
        <v>4.5</v>
      </c>
      <c r="G180" s="2">
        <v>1</v>
      </c>
      <c r="H180" s="2">
        <f t="shared" si="26"/>
        <v>18.400000000000002</v>
      </c>
      <c r="I180" s="2">
        <f t="shared" si="27"/>
        <v>4.5</v>
      </c>
      <c r="J180" s="2" t="s">
        <v>239</v>
      </c>
      <c r="K180" s="16">
        <f t="shared" si="19"/>
        <v>8.3584999999999994</v>
      </c>
      <c r="M180" s="2">
        <v>2</v>
      </c>
    </row>
    <row r="181" spans="1:14" ht="15" customHeight="1" x14ac:dyDescent="0.2">
      <c r="A181" s="3">
        <v>16</v>
      </c>
      <c r="B181" s="3" t="s">
        <v>315</v>
      </c>
      <c r="C181" s="2" t="s">
        <v>1</v>
      </c>
      <c r="D181" t="s">
        <v>69</v>
      </c>
      <c r="E181" s="2">
        <f>L_watt</f>
        <v>0.5</v>
      </c>
      <c r="F181" s="2">
        <f>4*2</f>
        <v>8</v>
      </c>
      <c r="G181" s="2">
        <v>1</v>
      </c>
      <c r="H181" s="2">
        <f t="shared" si="26"/>
        <v>11.5</v>
      </c>
      <c r="I181" s="2">
        <f t="shared" si="27"/>
        <v>8</v>
      </c>
      <c r="K181" s="16">
        <f t="shared" si="19"/>
        <v>7.1174999999999997</v>
      </c>
      <c r="L181" s="2">
        <v>4</v>
      </c>
    </row>
    <row r="182" spans="1:14" ht="15" customHeight="1" x14ac:dyDescent="0.2">
      <c r="A182" s="3">
        <v>16</v>
      </c>
      <c r="B182" s="3" t="s">
        <v>62</v>
      </c>
      <c r="C182" s="2" t="s">
        <v>1</v>
      </c>
      <c r="D182" t="s">
        <v>66</v>
      </c>
      <c r="E182" s="2">
        <f>L_watt</f>
        <v>0.5</v>
      </c>
      <c r="H182" s="2">
        <f t="shared" si="26"/>
        <v>12</v>
      </c>
      <c r="I182" s="2">
        <f t="shared" si="27"/>
        <v>0</v>
      </c>
      <c r="K182" s="16">
        <f t="shared" si="19"/>
        <v>4.38</v>
      </c>
    </row>
    <row r="183" spans="1:14" ht="15" customHeight="1" x14ac:dyDescent="0.2">
      <c r="A183" s="3">
        <v>16</v>
      </c>
      <c r="B183" s="3" t="s">
        <v>63</v>
      </c>
      <c r="C183" s="2" t="s">
        <v>1</v>
      </c>
      <c r="D183" t="s">
        <v>67</v>
      </c>
      <c r="E183" s="2">
        <f>L_watt</f>
        <v>0.5</v>
      </c>
      <c r="H183" s="2">
        <f t="shared" si="26"/>
        <v>12</v>
      </c>
      <c r="I183" s="2">
        <f t="shared" si="27"/>
        <v>0</v>
      </c>
      <c r="K183" s="16">
        <f t="shared" si="19"/>
        <v>4.38</v>
      </c>
      <c r="M183" s="2">
        <v>2</v>
      </c>
    </row>
    <row r="184" spans="1:14" x14ac:dyDescent="0.2">
      <c r="A184" s="3">
        <v>16</v>
      </c>
      <c r="B184" s="3" t="s">
        <v>250</v>
      </c>
      <c r="C184" s="2" t="s">
        <v>1</v>
      </c>
      <c r="D184" t="s">
        <v>64</v>
      </c>
      <c r="E184" s="2">
        <v>0</v>
      </c>
      <c r="F184" s="2">
        <v>7</v>
      </c>
      <c r="G184" s="2">
        <v>0.5</v>
      </c>
      <c r="H184" s="2">
        <f t="shared" si="26"/>
        <v>0</v>
      </c>
      <c r="I184" s="2">
        <f t="shared" si="27"/>
        <v>3.5</v>
      </c>
      <c r="J184" s="2">
        <v>0.56999999999999995</v>
      </c>
      <c r="K184" s="16">
        <f t="shared" si="19"/>
        <v>1.2775000000000001</v>
      </c>
      <c r="L184" s="2">
        <v>1</v>
      </c>
      <c r="M184" s="2">
        <v>1</v>
      </c>
    </row>
    <row r="185" spans="1:14" x14ac:dyDescent="0.2">
      <c r="A185" s="3">
        <v>16</v>
      </c>
      <c r="B185" s="3" t="s">
        <v>62</v>
      </c>
      <c r="C185" s="2" t="s">
        <v>1</v>
      </c>
      <c r="D185" t="s">
        <v>65</v>
      </c>
      <c r="E185" s="2">
        <v>0</v>
      </c>
      <c r="F185" s="2">
        <v>5.9</v>
      </c>
      <c r="G185" s="2">
        <v>0.25</v>
      </c>
      <c r="H185" s="2">
        <f t="shared" si="26"/>
        <v>0</v>
      </c>
      <c r="I185" s="2">
        <f t="shared" si="27"/>
        <v>1.4750000000000001</v>
      </c>
      <c r="J185" s="2">
        <v>0.8</v>
      </c>
      <c r="K185" s="16">
        <f t="shared" si="19"/>
        <v>0.53837500000000005</v>
      </c>
      <c r="L185" s="2">
        <v>1</v>
      </c>
    </row>
    <row r="186" spans="1:14" x14ac:dyDescent="0.2">
      <c r="A186" s="3">
        <v>16</v>
      </c>
      <c r="B186" s="3" t="s">
        <v>60</v>
      </c>
      <c r="C186" s="2" t="s">
        <v>1</v>
      </c>
      <c r="K186" s="16">
        <f t="shared" si="19"/>
        <v>0</v>
      </c>
      <c r="L186"/>
      <c r="M186" s="2">
        <v>2</v>
      </c>
    </row>
    <row r="187" spans="1:14" x14ac:dyDescent="0.2">
      <c r="A187" s="3">
        <v>16</v>
      </c>
      <c r="B187" s="3" t="s">
        <v>61</v>
      </c>
      <c r="C187" s="2" t="s">
        <v>1</v>
      </c>
      <c r="K187" s="16">
        <f t="shared" si="19"/>
        <v>0</v>
      </c>
      <c r="L187"/>
      <c r="M187" s="2">
        <v>2</v>
      </c>
    </row>
    <row r="188" spans="1:14" x14ac:dyDescent="0.2">
      <c r="A188" s="3">
        <v>17</v>
      </c>
      <c r="C188" s="2" t="s">
        <v>50</v>
      </c>
      <c r="D188" t="s">
        <v>37</v>
      </c>
      <c r="E188" s="10">
        <v>10</v>
      </c>
      <c r="H188" s="2">
        <f t="shared" ref="H188:H202" si="28">(24-G188)*E188</f>
        <v>240</v>
      </c>
      <c r="I188" s="2">
        <f>G188*F188</f>
        <v>0</v>
      </c>
      <c r="K188" s="16">
        <f t="shared" si="19"/>
        <v>87.6</v>
      </c>
      <c r="M188"/>
    </row>
    <row r="189" spans="1:14" x14ac:dyDescent="0.2">
      <c r="A189" s="3">
        <v>18</v>
      </c>
      <c r="B189" s="3" t="s">
        <v>138</v>
      </c>
      <c r="C189" s="2" t="s">
        <v>42</v>
      </c>
      <c r="D189" s="2" t="s">
        <v>140</v>
      </c>
      <c r="E189" s="2">
        <v>3.3</v>
      </c>
      <c r="H189" s="2">
        <f t="shared" si="28"/>
        <v>79.199999999999989</v>
      </c>
      <c r="I189" s="2">
        <f>G189*F189</f>
        <v>0</v>
      </c>
      <c r="J189" s="2">
        <v>0.59</v>
      </c>
      <c r="K189" s="16">
        <f t="shared" si="19"/>
        <v>28.907999999999998</v>
      </c>
      <c r="M189" s="2">
        <v>2</v>
      </c>
      <c r="N189" s="2" t="s">
        <v>242</v>
      </c>
    </row>
    <row r="190" spans="1:14" x14ac:dyDescent="0.2">
      <c r="A190" s="3">
        <v>18</v>
      </c>
      <c r="B190" s="3" t="s">
        <v>138</v>
      </c>
      <c r="C190" s="2" t="s">
        <v>42</v>
      </c>
      <c r="D190" t="s">
        <v>139</v>
      </c>
      <c r="E190" s="2">
        <f>L_watt</f>
        <v>0.5</v>
      </c>
      <c r="H190" s="2">
        <f t="shared" si="28"/>
        <v>12</v>
      </c>
      <c r="I190" s="2">
        <f>G190*F190</f>
        <v>0</v>
      </c>
      <c r="K190" s="16">
        <f t="shared" si="19"/>
        <v>4.38</v>
      </c>
      <c r="N190" t="s">
        <v>243</v>
      </c>
    </row>
    <row r="191" spans="1:14" x14ac:dyDescent="0.2">
      <c r="A191" s="3">
        <v>19</v>
      </c>
      <c r="C191" s="2" t="s">
        <v>50</v>
      </c>
      <c r="D191" t="s">
        <v>336</v>
      </c>
      <c r="E191" s="2">
        <v>1</v>
      </c>
      <c r="F191" s="2">
        <v>6</v>
      </c>
      <c r="G191" s="2">
        <v>12</v>
      </c>
      <c r="H191" s="2">
        <f t="shared" si="28"/>
        <v>12</v>
      </c>
      <c r="I191" s="2">
        <v>5</v>
      </c>
      <c r="K191" s="16">
        <f t="shared" si="19"/>
        <v>6.2050000000000001</v>
      </c>
      <c r="M191"/>
    </row>
    <row r="192" spans="1:14" x14ac:dyDescent="0.2">
      <c r="A192" s="3">
        <v>19</v>
      </c>
      <c r="C192" s="2" t="s">
        <v>50</v>
      </c>
      <c r="D192" t="s">
        <v>373</v>
      </c>
      <c r="E192" s="2">
        <f>L_watt</f>
        <v>0.5</v>
      </c>
      <c r="H192" s="2">
        <f t="shared" si="28"/>
        <v>12</v>
      </c>
      <c r="K192" s="16">
        <f t="shared" si="19"/>
        <v>4.38</v>
      </c>
      <c r="M192"/>
    </row>
    <row r="193" spans="1:13" x14ac:dyDescent="0.2">
      <c r="A193" s="3">
        <v>20</v>
      </c>
      <c r="C193" s="2" t="s">
        <v>46</v>
      </c>
      <c r="D193" t="s">
        <v>17</v>
      </c>
      <c r="E193" s="2">
        <v>0.5</v>
      </c>
      <c r="F193" s="2">
        <v>7600</v>
      </c>
      <c r="G193" s="2">
        <v>0.1</v>
      </c>
      <c r="H193" s="2">
        <f t="shared" si="28"/>
        <v>11.95</v>
      </c>
      <c r="I193" s="2">
        <f t="shared" ref="I193:I202" si="29">G193*F193</f>
        <v>760</v>
      </c>
      <c r="K193" s="16">
        <f t="shared" si="19"/>
        <v>281.76175000000001</v>
      </c>
      <c r="M193"/>
    </row>
    <row r="194" spans="1:13" x14ac:dyDescent="0.2">
      <c r="A194" s="3">
        <v>21</v>
      </c>
      <c r="C194" s="2" t="s">
        <v>50</v>
      </c>
      <c r="D194" t="s">
        <v>299</v>
      </c>
      <c r="E194" s="10">
        <v>5</v>
      </c>
      <c r="H194" s="2">
        <f t="shared" si="28"/>
        <v>120</v>
      </c>
      <c r="I194" s="2">
        <f t="shared" si="29"/>
        <v>0</v>
      </c>
      <c r="K194" s="16">
        <f t="shared" ref="K194:K202" si="30">(H194+I194)*365/1000</f>
        <v>43.8</v>
      </c>
      <c r="M194"/>
    </row>
    <row r="195" spans="1:13" x14ac:dyDescent="0.2">
      <c r="A195" s="3">
        <v>21</v>
      </c>
      <c r="C195" s="2" t="s">
        <v>50</v>
      </c>
      <c r="D195" t="s">
        <v>300</v>
      </c>
      <c r="E195" s="10">
        <v>5</v>
      </c>
      <c r="H195" s="2">
        <f t="shared" si="28"/>
        <v>120</v>
      </c>
      <c r="I195" s="2">
        <f t="shared" si="29"/>
        <v>0</v>
      </c>
      <c r="K195" s="16">
        <f t="shared" si="30"/>
        <v>43.8</v>
      </c>
      <c r="M195"/>
    </row>
    <row r="196" spans="1:13" x14ac:dyDescent="0.2">
      <c r="A196" s="3">
        <v>21</v>
      </c>
      <c r="C196" s="2" t="s">
        <v>50</v>
      </c>
      <c r="D196" t="s">
        <v>301</v>
      </c>
      <c r="E196" s="10">
        <v>5</v>
      </c>
      <c r="H196" s="2">
        <f t="shared" si="28"/>
        <v>120</v>
      </c>
      <c r="I196" s="2">
        <f t="shared" si="29"/>
        <v>0</v>
      </c>
      <c r="K196" s="16">
        <f t="shared" si="30"/>
        <v>43.8</v>
      </c>
      <c r="M196"/>
    </row>
    <row r="197" spans="1:13" x14ac:dyDescent="0.2">
      <c r="A197" s="3">
        <v>21</v>
      </c>
      <c r="C197" s="2" t="s">
        <v>50</v>
      </c>
      <c r="D197" t="s">
        <v>301</v>
      </c>
      <c r="E197" s="10">
        <v>5</v>
      </c>
      <c r="H197" s="2">
        <f t="shared" si="28"/>
        <v>120</v>
      </c>
      <c r="I197" s="2">
        <f t="shared" si="29"/>
        <v>0</v>
      </c>
      <c r="K197" s="16">
        <f t="shared" si="30"/>
        <v>43.8</v>
      </c>
      <c r="M197"/>
    </row>
    <row r="198" spans="1:13" x14ac:dyDescent="0.2">
      <c r="A198" s="3">
        <v>21</v>
      </c>
      <c r="C198" s="2" t="s">
        <v>50</v>
      </c>
      <c r="D198" t="s">
        <v>316</v>
      </c>
      <c r="E198" s="10">
        <v>5</v>
      </c>
      <c r="H198" s="2">
        <f t="shared" si="28"/>
        <v>120</v>
      </c>
      <c r="I198" s="2">
        <f t="shared" si="29"/>
        <v>0</v>
      </c>
      <c r="K198" s="16">
        <f t="shared" si="30"/>
        <v>43.8</v>
      </c>
      <c r="M198"/>
    </row>
    <row r="199" spans="1:13" x14ac:dyDescent="0.2">
      <c r="A199" s="3">
        <v>21</v>
      </c>
      <c r="C199" s="2" t="s">
        <v>42</v>
      </c>
      <c r="D199" t="s">
        <v>357</v>
      </c>
      <c r="E199" s="2">
        <f>L_watt</f>
        <v>0.5</v>
      </c>
      <c r="H199" s="2">
        <f t="shared" si="28"/>
        <v>12</v>
      </c>
      <c r="I199" s="2">
        <f t="shared" si="29"/>
        <v>0</v>
      </c>
      <c r="K199" s="16">
        <f t="shared" si="30"/>
        <v>4.38</v>
      </c>
      <c r="M199"/>
    </row>
    <row r="200" spans="1:13" x14ac:dyDescent="0.2">
      <c r="A200" s="3">
        <v>21</v>
      </c>
      <c r="C200" s="2" t="s">
        <v>42</v>
      </c>
      <c r="D200" t="s">
        <v>357</v>
      </c>
      <c r="E200" s="2">
        <f>L_watt</f>
        <v>0.5</v>
      </c>
      <c r="H200" s="2">
        <f t="shared" si="28"/>
        <v>12</v>
      </c>
      <c r="I200" s="2">
        <f t="shared" si="29"/>
        <v>0</v>
      </c>
      <c r="K200" s="16">
        <f t="shared" si="30"/>
        <v>4.38</v>
      </c>
      <c r="M200"/>
    </row>
    <row r="201" spans="1:13" x14ac:dyDescent="0.2">
      <c r="A201" s="3">
        <v>21</v>
      </c>
      <c r="C201" s="2" t="s">
        <v>42</v>
      </c>
      <c r="D201" t="s">
        <v>357</v>
      </c>
      <c r="E201" s="2">
        <f>L_watt</f>
        <v>0.5</v>
      </c>
      <c r="H201" s="2">
        <f t="shared" si="28"/>
        <v>12</v>
      </c>
      <c r="I201" s="2">
        <f t="shared" si="29"/>
        <v>0</v>
      </c>
      <c r="K201" s="16">
        <f t="shared" si="30"/>
        <v>4.38</v>
      </c>
      <c r="M201"/>
    </row>
    <row r="202" spans="1:13" x14ac:dyDescent="0.2">
      <c r="A202" s="3">
        <v>21</v>
      </c>
      <c r="C202" s="2" t="s">
        <v>42</v>
      </c>
      <c r="D202" t="s">
        <v>357</v>
      </c>
      <c r="E202" s="2">
        <f>L_watt</f>
        <v>0.5</v>
      </c>
      <c r="H202" s="2">
        <f t="shared" si="28"/>
        <v>12</v>
      </c>
      <c r="I202" s="2">
        <f t="shared" si="29"/>
        <v>0</v>
      </c>
      <c r="K202" s="16">
        <f t="shared" si="30"/>
        <v>4.38</v>
      </c>
      <c r="M202"/>
    </row>
    <row r="203" spans="1:13" x14ac:dyDescent="0.2">
      <c r="A203" s="3" t="s">
        <v>220</v>
      </c>
      <c r="C203" s="2" t="s">
        <v>52</v>
      </c>
      <c r="D203" t="s">
        <v>121</v>
      </c>
      <c r="L203"/>
      <c r="M203"/>
    </row>
    <row r="204" spans="1:13" x14ac:dyDescent="0.2">
      <c r="A204" s="3" t="s">
        <v>220</v>
      </c>
      <c r="C204" s="2" t="s">
        <v>52</v>
      </c>
      <c r="D204" t="s">
        <v>122</v>
      </c>
      <c r="L204"/>
      <c r="M204"/>
    </row>
    <row r="205" spans="1:13" x14ac:dyDescent="0.2">
      <c r="A205" s="3" t="s">
        <v>220</v>
      </c>
      <c r="C205" s="2" t="s">
        <v>52</v>
      </c>
      <c r="D205" t="s">
        <v>120</v>
      </c>
      <c r="L205"/>
      <c r="M205"/>
    </row>
    <row r="206" spans="1:13" x14ac:dyDescent="0.2">
      <c r="A206" s="3" t="s">
        <v>220</v>
      </c>
      <c r="C206" s="2" t="s">
        <v>52</v>
      </c>
      <c r="D206" t="s">
        <v>119</v>
      </c>
      <c r="L206"/>
      <c r="M206"/>
    </row>
    <row r="207" spans="1:13" x14ac:dyDescent="0.2">
      <c r="A207" s="3" t="s">
        <v>111</v>
      </c>
      <c r="C207" s="2" t="s">
        <v>136</v>
      </c>
      <c r="D207" t="s">
        <v>362</v>
      </c>
      <c r="E207" s="2">
        <f>115/24</f>
        <v>4.791666666666667</v>
      </c>
      <c r="F207" s="2">
        <f>2200*1000/(1*365)</f>
        <v>6027.3972602739723</v>
      </c>
      <c r="G207" s="2">
        <v>1</v>
      </c>
      <c r="H207" s="2">
        <f t="shared" ref="H207:H215" si="31">(24-G207)*E207</f>
        <v>110.20833333333334</v>
      </c>
      <c r="I207" s="2">
        <f>G207*F207</f>
        <v>6027.3972602739723</v>
      </c>
      <c r="K207" s="16">
        <f t="shared" ref="K207:K215" si="32">(H207+I207)*365/1000</f>
        <v>2240.2260416666663</v>
      </c>
      <c r="M207"/>
    </row>
    <row r="208" spans="1:13" x14ac:dyDescent="0.2">
      <c r="A208" s="3" t="s">
        <v>111</v>
      </c>
      <c r="C208" s="2" t="s">
        <v>136</v>
      </c>
      <c r="D208" t="s">
        <v>372</v>
      </c>
      <c r="E208" s="2">
        <f>L_watt</f>
        <v>0.5</v>
      </c>
      <c r="H208" s="2">
        <f t="shared" si="31"/>
        <v>12</v>
      </c>
      <c r="K208" s="16">
        <f t="shared" si="32"/>
        <v>4.38</v>
      </c>
      <c r="M208"/>
    </row>
    <row r="209" spans="1:14" x14ac:dyDescent="0.2">
      <c r="A209" s="3" t="s">
        <v>103</v>
      </c>
      <c r="B209" s="3" t="s">
        <v>102</v>
      </c>
      <c r="C209" s="2" t="s">
        <v>136</v>
      </c>
      <c r="D209" t="s">
        <v>32</v>
      </c>
      <c r="E209" s="2">
        <v>7.7</v>
      </c>
      <c r="H209" s="2">
        <f t="shared" si="31"/>
        <v>184.8</v>
      </c>
      <c r="I209" s="2">
        <f t="shared" ref="I209:I215" si="33">G209*F209</f>
        <v>0</v>
      </c>
      <c r="J209" s="2">
        <v>0.48</v>
      </c>
      <c r="K209" s="16">
        <f t="shared" si="32"/>
        <v>67.451999999999998</v>
      </c>
      <c r="M209" s="2">
        <v>4</v>
      </c>
    </row>
    <row r="210" spans="1:14" x14ac:dyDescent="0.2">
      <c r="A210" s="3" t="s">
        <v>103</v>
      </c>
      <c r="C210" s="2" t="s">
        <v>136</v>
      </c>
      <c r="D210" t="s">
        <v>343</v>
      </c>
      <c r="E210" s="2">
        <v>2.5</v>
      </c>
      <c r="H210" s="2">
        <f t="shared" si="31"/>
        <v>60</v>
      </c>
      <c r="I210" s="2">
        <f t="shared" si="33"/>
        <v>0</v>
      </c>
      <c r="K210" s="16">
        <f t="shared" si="32"/>
        <v>21.9</v>
      </c>
      <c r="M210"/>
    </row>
    <row r="211" spans="1:14" x14ac:dyDescent="0.2">
      <c r="A211" s="3" t="s">
        <v>103</v>
      </c>
      <c r="B211" s="3" t="s">
        <v>102</v>
      </c>
      <c r="C211" s="2" t="s">
        <v>136</v>
      </c>
      <c r="D211" t="s">
        <v>40</v>
      </c>
      <c r="E211" s="2">
        <v>1.6</v>
      </c>
      <c r="H211" s="2">
        <f t="shared" si="31"/>
        <v>38.400000000000006</v>
      </c>
      <c r="I211" s="2">
        <f t="shared" si="33"/>
        <v>0</v>
      </c>
      <c r="J211" s="2">
        <v>0.55000000000000004</v>
      </c>
      <c r="K211" s="16">
        <f t="shared" si="32"/>
        <v>14.016000000000002</v>
      </c>
    </row>
    <row r="212" spans="1:14" x14ac:dyDescent="0.2">
      <c r="A212" s="3" t="s">
        <v>103</v>
      </c>
      <c r="B212" s="3" t="s">
        <v>102</v>
      </c>
      <c r="C212" s="2" t="s">
        <v>136</v>
      </c>
      <c r="D212" t="s">
        <v>33</v>
      </c>
      <c r="E212" s="2">
        <f>L_watt</f>
        <v>0.5</v>
      </c>
      <c r="H212" s="2">
        <f t="shared" si="31"/>
        <v>12</v>
      </c>
      <c r="I212" s="2">
        <f t="shared" si="33"/>
        <v>0</v>
      </c>
      <c r="K212" s="16">
        <f t="shared" si="32"/>
        <v>4.38</v>
      </c>
    </row>
    <row r="213" spans="1:14" x14ac:dyDescent="0.2">
      <c r="A213" s="3" t="s">
        <v>112</v>
      </c>
      <c r="B213" s="3" t="s">
        <v>113</v>
      </c>
      <c r="C213" s="2" t="s">
        <v>136</v>
      </c>
      <c r="D213" s="2" t="s">
        <v>114</v>
      </c>
      <c r="E213" s="2">
        <v>3.5</v>
      </c>
      <c r="F213" s="2">
        <v>50</v>
      </c>
      <c r="G213" s="2">
        <v>1</v>
      </c>
      <c r="H213" s="2">
        <f t="shared" si="31"/>
        <v>80.5</v>
      </c>
      <c r="I213" s="2">
        <f t="shared" si="33"/>
        <v>50</v>
      </c>
      <c r="J213" s="2">
        <v>0.11</v>
      </c>
      <c r="K213" s="16">
        <f t="shared" si="32"/>
        <v>47.6325</v>
      </c>
      <c r="M213" s="2">
        <v>2</v>
      </c>
      <c r="N213" s="2"/>
    </row>
    <row r="214" spans="1:14" x14ac:dyDescent="0.2">
      <c r="A214" s="3" t="s">
        <v>112</v>
      </c>
      <c r="B214" s="3" t="s">
        <v>113</v>
      </c>
      <c r="C214" s="2" t="s">
        <v>136</v>
      </c>
      <c r="D214" s="2" t="s">
        <v>327</v>
      </c>
      <c r="E214" s="2">
        <v>5</v>
      </c>
      <c r="H214" s="2">
        <f t="shared" si="31"/>
        <v>120</v>
      </c>
      <c r="I214" s="2">
        <f t="shared" si="33"/>
        <v>0</v>
      </c>
      <c r="K214" s="16">
        <f t="shared" si="32"/>
        <v>43.8</v>
      </c>
      <c r="N214" s="2"/>
    </row>
    <row r="215" spans="1:14" x14ac:dyDescent="0.2">
      <c r="A215" s="3" t="s">
        <v>112</v>
      </c>
      <c r="B215" s="3" t="s">
        <v>113</v>
      </c>
      <c r="C215" s="2" t="s">
        <v>136</v>
      </c>
      <c r="D215" s="2" t="s">
        <v>0</v>
      </c>
      <c r="E215" s="2">
        <f>L_watt</f>
        <v>0.5</v>
      </c>
      <c r="F215" s="2">
        <v>15</v>
      </c>
      <c r="G215" s="2">
        <v>1</v>
      </c>
      <c r="H215" s="2">
        <f t="shared" si="31"/>
        <v>11.5</v>
      </c>
      <c r="I215" s="2">
        <f t="shared" si="33"/>
        <v>15</v>
      </c>
      <c r="K215" s="16">
        <f t="shared" si="32"/>
        <v>9.6724999999999994</v>
      </c>
      <c r="M215" s="2">
        <v>2</v>
      </c>
      <c r="N215" s="2"/>
    </row>
    <row r="216" spans="1:14" x14ac:dyDescent="0.2">
      <c r="A216" s="3" t="s">
        <v>221</v>
      </c>
      <c r="C216" s="2" t="s">
        <v>136</v>
      </c>
      <c r="D216" t="s">
        <v>222</v>
      </c>
      <c r="L216"/>
      <c r="M216"/>
    </row>
    <row r="217" spans="1:14" x14ac:dyDescent="0.2">
      <c r="A217" s="3" t="s">
        <v>218</v>
      </c>
      <c r="C217" s="2" t="s">
        <v>217</v>
      </c>
      <c r="D217" t="s">
        <v>29</v>
      </c>
      <c r="L217"/>
      <c r="M217"/>
    </row>
    <row r="218" spans="1:14" x14ac:dyDescent="0.2">
      <c r="A218" s="3" t="s">
        <v>218</v>
      </c>
      <c r="C218" s="2" t="s">
        <v>50</v>
      </c>
      <c r="D218" s="2" t="s">
        <v>234</v>
      </c>
      <c r="N218" s="2"/>
    </row>
    <row r="219" spans="1:14" x14ac:dyDescent="0.2">
      <c r="A219" s="3" t="s">
        <v>218</v>
      </c>
      <c r="C219" s="2" t="s">
        <v>53</v>
      </c>
      <c r="D219" t="s">
        <v>219</v>
      </c>
      <c r="L219"/>
      <c r="M219"/>
    </row>
    <row r="220" spans="1:14" x14ac:dyDescent="0.2">
      <c r="A220" s="3" t="s">
        <v>218</v>
      </c>
      <c r="C220" s="2" t="s">
        <v>53</v>
      </c>
      <c r="D220" t="s">
        <v>26</v>
      </c>
      <c r="L220"/>
      <c r="M220"/>
    </row>
    <row r="221" spans="1:14" x14ac:dyDescent="0.2">
      <c r="A221" s="3" t="s">
        <v>218</v>
      </c>
      <c r="C221" s="2" t="s">
        <v>52</v>
      </c>
      <c r="D221" t="s">
        <v>30</v>
      </c>
      <c r="L221"/>
      <c r="M221"/>
    </row>
    <row r="222" spans="1:14" x14ac:dyDescent="0.2">
      <c r="A222" s="3" t="s">
        <v>218</v>
      </c>
      <c r="C222" s="2" t="s">
        <v>52</v>
      </c>
      <c r="D222" t="s">
        <v>28</v>
      </c>
      <c r="L222"/>
      <c r="M222"/>
    </row>
    <row r="223" spans="1:14" x14ac:dyDescent="0.2">
      <c r="A223" s="3" t="s">
        <v>155</v>
      </c>
      <c r="C223" s="2" t="s">
        <v>42</v>
      </c>
      <c r="D223" t="s">
        <v>227</v>
      </c>
      <c r="L223"/>
      <c r="M223"/>
    </row>
    <row r="224" spans="1:14" x14ac:dyDescent="0.2">
      <c r="A224" s="3" t="s">
        <v>155</v>
      </c>
      <c r="C224" s="2" t="s">
        <v>42</v>
      </c>
      <c r="D224" t="s">
        <v>226</v>
      </c>
      <c r="L224"/>
      <c r="M224"/>
    </row>
    <row r="225" spans="1:13" x14ac:dyDescent="0.2">
      <c r="A225" s="3" t="s">
        <v>155</v>
      </c>
      <c r="C225" s="2" t="s">
        <v>42</v>
      </c>
      <c r="D225" t="s">
        <v>225</v>
      </c>
      <c r="L225"/>
      <c r="M225"/>
    </row>
    <row r="226" spans="1:13" x14ac:dyDescent="0.2">
      <c r="A226" s="3" t="s">
        <v>155</v>
      </c>
      <c r="C226" s="2" t="s">
        <v>42</v>
      </c>
      <c r="D226" t="s">
        <v>39</v>
      </c>
      <c r="L226"/>
      <c r="M226"/>
    </row>
    <row r="227" spans="1:13" x14ac:dyDescent="0.2">
      <c r="A227" s="3" t="s">
        <v>155</v>
      </c>
      <c r="C227" s="2" t="s">
        <v>42</v>
      </c>
      <c r="D227" t="s">
        <v>23</v>
      </c>
      <c r="L227"/>
      <c r="M227"/>
    </row>
    <row r="228" spans="1:13" x14ac:dyDescent="0.2">
      <c r="A228" s="3" t="s">
        <v>155</v>
      </c>
      <c r="C228" s="2" t="s">
        <v>42</v>
      </c>
      <c r="D228" t="s">
        <v>27</v>
      </c>
      <c r="L228"/>
      <c r="M228"/>
    </row>
    <row r="229" spans="1:13" x14ac:dyDescent="0.2">
      <c r="A229" s="3" t="s">
        <v>155</v>
      </c>
      <c r="C229" s="2" t="s">
        <v>42</v>
      </c>
      <c r="D229" t="s">
        <v>38</v>
      </c>
      <c r="L229"/>
      <c r="M229"/>
    </row>
    <row r="230" spans="1:13" x14ac:dyDescent="0.2">
      <c r="L230"/>
      <c r="M230"/>
    </row>
    <row r="231" spans="1:13" ht="17" thickBot="1" x14ac:dyDescent="0.25"/>
    <row r="232" spans="1:13" x14ac:dyDescent="0.2">
      <c r="B232" s="19" t="s">
        <v>328</v>
      </c>
      <c r="C232" s="20">
        <v>0.5</v>
      </c>
      <c r="D232" s="21" t="s">
        <v>331</v>
      </c>
    </row>
    <row r="233" spans="1:13" x14ac:dyDescent="0.2">
      <c r="B233" s="22" t="s">
        <v>329</v>
      </c>
      <c r="C233" s="23">
        <v>0.75</v>
      </c>
      <c r="D233" s="24" t="s">
        <v>330</v>
      </c>
    </row>
    <row r="234" spans="1:13" x14ac:dyDescent="0.2">
      <c r="B234" s="22" t="s">
        <v>332</v>
      </c>
      <c r="C234">
        <v>160</v>
      </c>
      <c r="D234" s="24" t="s">
        <v>333</v>
      </c>
    </row>
    <row r="235" spans="1:13" x14ac:dyDescent="0.2">
      <c r="B235" s="22" t="s">
        <v>334</v>
      </c>
      <c r="C235" s="25">
        <v>0.9</v>
      </c>
      <c r="D235" s="24" t="s">
        <v>335</v>
      </c>
    </row>
    <row r="236" spans="1:13" ht="17" thickBot="1" x14ac:dyDescent="0.25">
      <c r="B236" s="26" t="s">
        <v>338</v>
      </c>
      <c r="C236" s="27">
        <f>1/24</f>
        <v>4.1666666666666664E-2</v>
      </c>
      <c r="D236" s="28" t="s">
        <v>339</v>
      </c>
    </row>
  </sheetData>
  <autoFilter ref="A1:N230" xr:uid="{E5E9FF5F-3F2D-BC44-AB56-3DAB971A3FA7}">
    <sortState xmlns:xlrd2="http://schemas.microsoft.com/office/spreadsheetml/2017/richdata2" ref="A2:N230">
      <sortCondition ref="A1:A230"/>
    </sortState>
  </autoFilter>
  <sortState xmlns:xlrd2="http://schemas.microsoft.com/office/spreadsheetml/2017/richdata2" ref="A2:N229">
    <sortCondition ref="A2:A229"/>
  </sortState>
  <hyperlinks>
    <hyperlink ref="B11" r:id="rId1" xr:uid="{E8725DB6-CB59-D64E-9A91-F0C2A5D4CC25}"/>
    <hyperlink ref="B12" r:id="rId2" xr:uid="{707FBA5E-25D3-DF40-9F11-C2AD22B5974B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3925-6C80-D143-96F5-4C27BA215E7E}">
  <sheetPr>
    <pageSetUpPr fitToPage="1"/>
  </sheetPr>
  <dimension ref="A1:K33"/>
  <sheetViews>
    <sheetView tabSelected="1" zoomScale="150" workbookViewId="0">
      <selection activeCell="E3" sqref="E3"/>
    </sheetView>
  </sheetViews>
  <sheetFormatPr baseColWidth="10" defaultRowHeight="16" x14ac:dyDescent="0.2"/>
  <cols>
    <col min="1" max="3" width="9.6640625" customWidth="1"/>
    <col min="4" max="5" width="10.83203125" customWidth="1"/>
    <col min="6" max="6" width="16.33203125" customWidth="1"/>
    <col min="7" max="8" width="19.1640625" customWidth="1"/>
    <col min="9" max="9" width="82.5" customWidth="1"/>
  </cols>
  <sheetData>
    <row r="1" spans="1:9" x14ac:dyDescent="0.2">
      <c r="A1" s="3" t="s">
        <v>342</v>
      </c>
      <c r="B1" s="3" t="s">
        <v>3</v>
      </c>
      <c r="C1" s="3" t="s">
        <v>344</v>
      </c>
      <c r="D1" s="3" t="s">
        <v>361</v>
      </c>
      <c r="E1" s="3" t="s">
        <v>368</v>
      </c>
      <c r="F1" s="3" t="s">
        <v>369</v>
      </c>
      <c r="G1" s="3" t="s">
        <v>247</v>
      </c>
      <c r="H1" s="3" t="s">
        <v>246</v>
      </c>
      <c r="I1" t="s">
        <v>4</v>
      </c>
    </row>
    <row r="2" spans="1:9" x14ac:dyDescent="0.2">
      <c r="A2" s="3">
        <v>6</v>
      </c>
      <c r="B2" s="18" t="s">
        <v>111</v>
      </c>
      <c r="C2" s="8">
        <f>SUMIF(Verbruikers!$A:$A,$B2,Verbruikers!H:H)/1000</f>
        <v>0.12220833333333335</v>
      </c>
      <c r="D2" s="8">
        <f>SUMIF(Verbruikers!$A:$A,$B2,Verbruikers!I:I)/1000</f>
        <v>6.0273972602739727</v>
      </c>
      <c r="E2" s="8">
        <f>C2+D2</f>
        <v>6.1496055936073057</v>
      </c>
      <c r="F2" s="15">
        <f>COUNTIF(Verbruikers!A:A,B2)</f>
        <v>2</v>
      </c>
      <c r="G2" s="15">
        <f>SUMIF(Verbruikers!$A:$A,$B2,Verbruikers!L:L)</f>
        <v>0</v>
      </c>
      <c r="H2" s="15">
        <f>SUMIF(Verbruikers!$A:$A,$B2,Verbruikers!M:M)</f>
        <v>0</v>
      </c>
      <c r="I2" s="2" t="s">
        <v>126</v>
      </c>
    </row>
    <row r="3" spans="1:9" x14ac:dyDescent="0.2">
      <c r="A3" s="3">
        <v>3</v>
      </c>
      <c r="B3" s="14">
        <v>1</v>
      </c>
      <c r="C3" s="8">
        <f>SUMIF(Verbruikers!A:A,B3,Verbruikers!H:H)/1000</f>
        <v>4.0795552348336601</v>
      </c>
      <c r="D3" s="8">
        <f>SUMIF(Verbruikers!$A:$A,$B3,Verbruikers!I:I)/1000</f>
        <v>0.21848571428571428</v>
      </c>
      <c r="E3" s="8">
        <f>C3+D3</f>
        <v>4.2980409491193745</v>
      </c>
      <c r="F3" s="15">
        <f>COUNTIF(Verbruikers!A:A,B3)</f>
        <v>44</v>
      </c>
      <c r="G3" s="15">
        <f>SUMIF(Verbruikers!$A:$A,$B3,Verbruikers!L:L)</f>
        <v>47</v>
      </c>
      <c r="H3" s="15">
        <f>SUMIF(Verbruikers!$A:$A,$B3,Verbruikers!M:M)</f>
        <v>30</v>
      </c>
      <c r="I3" t="s">
        <v>41</v>
      </c>
    </row>
    <row r="4" spans="1:9" x14ac:dyDescent="0.2">
      <c r="A4" s="3">
        <v>3</v>
      </c>
      <c r="B4" s="14">
        <v>15</v>
      </c>
      <c r="C4" s="8">
        <f>SUMIF(Verbruikers!A:A,B4,Verbruikers!H:H)/1000</f>
        <v>3.97359375</v>
      </c>
      <c r="D4" s="8">
        <f>SUMIF(Verbruikers!$A:$A,$B4,Verbruikers!I:I)/1000</f>
        <v>0.31612499999999999</v>
      </c>
      <c r="E4" s="8">
        <f>C4+D4</f>
        <v>4.2897187500000005</v>
      </c>
      <c r="F4" s="15">
        <f>COUNTIF(Verbruikers!A:A,B4)</f>
        <v>13</v>
      </c>
      <c r="G4" s="15">
        <f>SUMIF(Verbruikers!$A:$A,$B4,Verbruikers!L:L)</f>
        <v>4</v>
      </c>
      <c r="H4" s="15">
        <f>SUMIF(Verbruikers!$A:$A,$B4,Verbruikers!M:M)</f>
        <v>17</v>
      </c>
      <c r="I4" t="s">
        <v>14</v>
      </c>
    </row>
    <row r="5" spans="1:9" x14ac:dyDescent="0.2">
      <c r="A5" s="3">
        <v>1</v>
      </c>
      <c r="B5" s="14">
        <v>6</v>
      </c>
      <c r="C5" s="8">
        <f>SUMIF(Verbruikers!A:A,B5,Verbruikers!H:H)/1000</f>
        <v>1.7331509999999997</v>
      </c>
      <c r="D5" s="8">
        <f>SUMIF(Verbruikers!$A:$A,$B5,Verbruikers!I:I)/1000</f>
        <v>1.4311412698412698</v>
      </c>
      <c r="E5" s="8">
        <f>C5+D5</f>
        <v>3.1642922698412694</v>
      </c>
      <c r="F5" s="15">
        <f>COUNTIF(Verbruikers!A:A,B5)</f>
        <v>37</v>
      </c>
      <c r="G5" s="15">
        <f>SUMIF(Verbruikers!$A:$A,$B5,Verbruikers!L:L)</f>
        <v>54</v>
      </c>
      <c r="H5" s="15">
        <f>SUMIF(Verbruikers!$A:$A,$B5,Verbruikers!M:M)</f>
        <v>21</v>
      </c>
      <c r="I5" t="s">
        <v>70</v>
      </c>
    </row>
    <row r="6" spans="1:9" x14ac:dyDescent="0.2">
      <c r="A6" s="3">
        <v>3</v>
      </c>
      <c r="B6" s="14">
        <v>16</v>
      </c>
      <c r="C6" s="8">
        <f>SUMIF(Verbruikers!A:A,B6,Verbruikers!H:H)/1000</f>
        <v>0.75703835616438342</v>
      </c>
      <c r="D6" s="8">
        <f>SUMIF(Verbruikers!$A:$A,$B6,Verbruikers!I:I)/1000</f>
        <v>0.66387499999999999</v>
      </c>
      <c r="E6" s="8">
        <f>C6+D6</f>
        <v>1.4209133561643834</v>
      </c>
      <c r="F6" s="15">
        <f>COUNTIF(Verbruikers!A:A,B6)</f>
        <v>22</v>
      </c>
      <c r="G6" s="15">
        <f>SUMIF(Verbruikers!$A:$A,$B6,Verbruikers!L:L)</f>
        <v>11</v>
      </c>
      <c r="H6" s="15">
        <f>SUMIF(Verbruikers!$A:$A,$B6,Verbruikers!M:M)</f>
        <v>21</v>
      </c>
      <c r="I6" t="s">
        <v>15</v>
      </c>
    </row>
    <row r="7" spans="1:9" x14ac:dyDescent="0.2">
      <c r="A7" s="3">
        <v>2</v>
      </c>
      <c r="B7" s="18">
        <v>14</v>
      </c>
      <c r="C7" s="8">
        <f>SUMIF(Verbruikers!A:A,B7,Verbruikers!H:H)/1000</f>
        <v>0.34012500000000001</v>
      </c>
      <c r="D7" s="8">
        <f>SUMIF(Verbruikers!$A:$A,$B7,Verbruikers!I:I)/1000</f>
        <v>0.50880626223091974</v>
      </c>
      <c r="E7" s="8">
        <f>C7+D7</f>
        <v>0.84893126223091975</v>
      </c>
      <c r="F7" s="15">
        <f>COUNTIF(Verbruikers!A:A,B7)</f>
        <v>2</v>
      </c>
      <c r="G7" s="15">
        <f>SUMIF(Verbruikers!$A:$A,$B7,Verbruikers!L:L)</f>
        <v>0</v>
      </c>
      <c r="H7" s="15">
        <f>SUMIF(Verbruikers!$A:$A,$B7,Verbruikers!M:M)</f>
        <v>0</v>
      </c>
      <c r="I7" t="s">
        <v>13</v>
      </c>
    </row>
    <row r="8" spans="1:9" x14ac:dyDescent="0.2">
      <c r="A8" s="3">
        <v>5</v>
      </c>
      <c r="B8" s="3">
        <v>20</v>
      </c>
      <c r="C8" s="8">
        <f>SUMIF(Verbruikers!A:A,B8,Verbruikers!H:H)/1000</f>
        <v>1.1949999999999999E-2</v>
      </c>
      <c r="D8" s="8">
        <f>SUMIF(Verbruikers!$A:$A,$B8,Verbruikers!I:I)/1000</f>
        <v>0.76</v>
      </c>
      <c r="E8" s="8">
        <f>C8+D8</f>
        <v>0.77195000000000003</v>
      </c>
      <c r="F8" s="15">
        <f>COUNTIF(Verbruikers!A:A,B8)</f>
        <v>1</v>
      </c>
      <c r="G8" s="15">
        <f>SUMIF(Verbruikers!$A:$A,$B8,Verbruikers!L:L)</f>
        <v>0</v>
      </c>
      <c r="H8" s="15">
        <f>SUMIF(Verbruikers!$A:$A,$B8,Verbruikers!M:M)</f>
        <v>0</v>
      </c>
      <c r="I8" t="s">
        <v>17</v>
      </c>
    </row>
    <row r="9" spans="1:9" x14ac:dyDescent="0.2">
      <c r="A9" s="3">
        <v>1</v>
      </c>
      <c r="B9" s="3">
        <v>7</v>
      </c>
      <c r="C9" s="8">
        <f>SUMIF(Verbruikers!A:A,B9,Verbruikers!H:H)/1000</f>
        <v>0.21465000000000001</v>
      </c>
      <c r="D9" s="8">
        <f>SUMIF(Verbruikers!$A:$A,$B9,Verbruikers!I:I)/1000</f>
        <v>0.51</v>
      </c>
      <c r="E9" s="8">
        <f>C9+D9</f>
        <v>0.72465000000000002</v>
      </c>
      <c r="F9" s="15">
        <f>COUNTIF(Verbruikers!A:A,B9)</f>
        <v>1</v>
      </c>
      <c r="G9" s="15">
        <f>SUMIF(Verbruikers!$A:$A,$B9,Verbruikers!L:L)</f>
        <v>0</v>
      </c>
      <c r="H9" s="15">
        <f>SUMIF(Verbruikers!$A:$A,$B9,Verbruikers!M:M)</f>
        <v>0</v>
      </c>
      <c r="I9" t="s">
        <v>9</v>
      </c>
    </row>
    <row r="10" spans="1:9" x14ac:dyDescent="0.2">
      <c r="A10" s="3">
        <v>1</v>
      </c>
      <c r="B10" s="3">
        <v>21</v>
      </c>
      <c r="C10" s="8">
        <f>SUMIF(Verbruikers!A:A,B10,Verbruikers!H:H)/1000</f>
        <v>0.64800000000000002</v>
      </c>
      <c r="D10" s="8">
        <f>SUMIF(Verbruikers!$A:$A,$B10,Verbruikers!I:I)/1000</f>
        <v>0</v>
      </c>
      <c r="E10" s="8">
        <f>C10+D10</f>
        <v>0.64800000000000002</v>
      </c>
      <c r="F10" s="15">
        <f>COUNTIF(Verbruikers!A:A,B10)</f>
        <v>9</v>
      </c>
      <c r="G10" s="15">
        <f>SUMIF(Verbruikers!$A:$A,$B10,Verbruikers!L:L)</f>
        <v>0</v>
      </c>
      <c r="H10" s="15">
        <f>SUMIF(Verbruikers!$A:$A,$B10,Verbruikers!M:M)</f>
        <v>0</v>
      </c>
      <c r="I10" t="s">
        <v>18</v>
      </c>
    </row>
    <row r="11" spans="1:9" x14ac:dyDescent="0.2">
      <c r="A11" s="3">
        <v>2</v>
      </c>
      <c r="B11" s="3">
        <v>11</v>
      </c>
      <c r="C11" s="8">
        <f>SUMIF(Verbruikers!A:A,B11,Verbruikers!H:H)/1000</f>
        <v>0.26235000000000003</v>
      </c>
      <c r="D11" s="8">
        <f>SUMIF(Verbruikers!$A:$A,$B11,Verbruikers!I:I)/1000</f>
        <v>0.3</v>
      </c>
      <c r="E11" s="8">
        <f>C11+D11</f>
        <v>0.56235000000000002</v>
      </c>
      <c r="F11" s="15">
        <f>COUNTIF(Verbruikers!A:A,B11)</f>
        <v>1</v>
      </c>
      <c r="G11" s="15">
        <f>SUMIF(Verbruikers!$A:$A,$B11,Verbruikers!L:L)</f>
        <v>0</v>
      </c>
      <c r="H11" s="15">
        <f>SUMIF(Verbruikers!$A:$A,$B11,Verbruikers!M:M)</f>
        <v>0</v>
      </c>
      <c r="I11" t="s">
        <v>11</v>
      </c>
    </row>
    <row r="12" spans="1:9" x14ac:dyDescent="0.2">
      <c r="A12" s="3">
        <v>1</v>
      </c>
      <c r="B12" s="3">
        <v>8</v>
      </c>
      <c r="C12" s="8">
        <f>SUMIF(Verbruikers!A:A,B12,Verbruikers!H:H)/1000</f>
        <v>0.23849999999999999</v>
      </c>
      <c r="D12" s="8">
        <f>SUMIF(Verbruikers!$A:$A,$B12,Verbruikers!I:I)/1000</f>
        <v>0.24</v>
      </c>
      <c r="E12" s="8">
        <f>C12+D12</f>
        <v>0.47849999999999998</v>
      </c>
      <c r="F12" s="15">
        <f>COUNTIF(Verbruikers!A:A,B12)</f>
        <v>1</v>
      </c>
      <c r="G12" s="15">
        <f>SUMIF(Verbruikers!$A:$A,$B12,Verbruikers!L:L)</f>
        <v>0</v>
      </c>
      <c r="H12" s="15">
        <f>SUMIF(Verbruikers!$A:$A,$B12,Verbruikers!M:M)</f>
        <v>0</v>
      </c>
      <c r="I12" t="s">
        <v>10</v>
      </c>
    </row>
    <row r="13" spans="1:9" x14ac:dyDescent="0.2">
      <c r="A13" s="3">
        <v>2</v>
      </c>
      <c r="B13" s="3">
        <v>9</v>
      </c>
      <c r="C13" s="8">
        <f>SUMIF(Verbruikers!A:A,B13,Verbruikers!H:H)/1000</f>
        <v>0.31826821428571428</v>
      </c>
      <c r="D13" s="8">
        <f>SUMIF(Verbruikers!$A:$A,$B13,Verbruikers!I:I)/1000</f>
        <v>6.8642857142857158E-2</v>
      </c>
      <c r="E13" s="8">
        <f>C13+D13</f>
        <v>0.38691107142857145</v>
      </c>
      <c r="F13" s="15">
        <f>COUNTIF(Verbruikers!A:A,B13)</f>
        <v>21</v>
      </c>
      <c r="G13" s="15">
        <f>SUMIF(Verbruikers!$A:$A,$B13,Verbruikers!L:L)</f>
        <v>29</v>
      </c>
      <c r="H13" s="15">
        <f>SUMIF(Verbruikers!$A:$A,$B13,Verbruikers!M:M)</f>
        <v>25</v>
      </c>
      <c r="I13" t="s">
        <v>34</v>
      </c>
    </row>
    <row r="14" spans="1:9" x14ac:dyDescent="0.2">
      <c r="A14" s="3">
        <v>1</v>
      </c>
      <c r="B14" s="3">
        <v>5</v>
      </c>
      <c r="C14" s="8">
        <f>SUMIF(Verbruikers!A:A,B14,Verbruikers!H:H)/1000</f>
        <v>7.0499999999999998E-3</v>
      </c>
      <c r="D14" s="8">
        <f>SUMIF(Verbruikers!$A:$A,$B14,Verbruikers!I:I)/1000</f>
        <v>0.3</v>
      </c>
      <c r="E14" s="8">
        <f>C14+D14</f>
        <v>0.30704999999999999</v>
      </c>
      <c r="F14" s="15">
        <f>COUNTIF(Verbruikers!A:A,B14)</f>
        <v>1</v>
      </c>
      <c r="G14" s="15">
        <f>SUMIF(Verbruikers!$A:$A,$B14,Verbruikers!L:L)</f>
        <v>0</v>
      </c>
      <c r="H14" s="15">
        <f>SUMIF(Verbruikers!$A:$A,$B14,Verbruikers!M:M)</f>
        <v>2</v>
      </c>
      <c r="I14" t="s">
        <v>8</v>
      </c>
    </row>
    <row r="15" spans="1:9" x14ac:dyDescent="0.2">
      <c r="A15" s="3">
        <v>2</v>
      </c>
      <c r="B15" s="18" t="s">
        <v>103</v>
      </c>
      <c r="C15" s="8">
        <f>SUMIF(Verbruikers!A:A,B15,Verbruikers!H:H)/1000</f>
        <v>0.29520000000000002</v>
      </c>
      <c r="D15" s="8">
        <f>SUMIF(Verbruikers!$A:$A,$B15,Verbruikers!I:I)/1000</f>
        <v>0</v>
      </c>
      <c r="E15" s="8">
        <f>C15+D15</f>
        <v>0.29520000000000002</v>
      </c>
      <c r="F15" s="15">
        <f>COUNTIF(Verbruikers!A:A,B15)</f>
        <v>4</v>
      </c>
      <c r="G15" s="15">
        <f>SUMIF(Verbruikers!$A:$A,$B15,Verbruikers!L:L)</f>
        <v>0</v>
      </c>
      <c r="H15" s="15">
        <f>SUMIF(Verbruikers!$A:$A,$B15,Verbruikers!M:M)</f>
        <v>4</v>
      </c>
      <c r="I15" t="s">
        <v>124</v>
      </c>
    </row>
    <row r="16" spans="1:9" x14ac:dyDescent="0.2">
      <c r="A16" s="3">
        <v>3</v>
      </c>
      <c r="B16" s="3" t="s">
        <v>112</v>
      </c>
      <c r="C16" s="8">
        <f>SUMIF(Verbruikers!A:A,B16,Verbruikers!H:H)/1000</f>
        <v>0.21199999999999999</v>
      </c>
      <c r="D16" s="8">
        <f>SUMIF(Verbruikers!$A:$A,$B16,Verbruikers!I:I)/1000</f>
        <v>6.5000000000000002E-2</v>
      </c>
      <c r="E16" s="8">
        <f>C16+D16</f>
        <v>0.27700000000000002</v>
      </c>
      <c r="F16" s="15">
        <f>COUNTIF(Verbruikers!A:A,B16)</f>
        <v>3</v>
      </c>
      <c r="G16" s="15">
        <f>SUMIF(Verbruikers!$A:$A,$B16,Verbruikers!L:L)</f>
        <v>0</v>
      </c>
      <c r="H16" s="15">
        <f>SUMIF(Verbruikers!$A:$A,$B16,Verbruikers!M:M)</f>
        <v>4</v>
      </c>
      <c r="I16" t="s">
        <v>114</v>
      </c>
    </row>
    <row r="17" spans="1:9" x14ac:dyDescent="0.2">
      <c r="A17" s="3">
        <v>3</v>
      </c>
      <c r="B17" s="3">
        <v>3</v>
      </c>
      <c r="C17" s="8">
        <f>SUMIF(Verbruikers!A:A,B17,Verbruikers!H:H)/1000</f>
        <v>0.27600000000000002</v>
      </c>
      <c r="D17" s="8">
        <f>SUMIF(Verbruikers!$A:$A,$B17,Verbruikers!I:I)/1000</f>
        <v>8.1249999999999996E-4</v>
      </c>
      <c r="E17" s="8">
        <f>C17+D17</f>
        <v>0.27681250000000002</v>
      </c>
      <c r="F17" s="15">
        <f>COUNTIF(Verbruikers!A:A,B17)</f>
        <v>14</v>
      </c>
      <c r="G17" s="15">
        <f>SUMIF(Verbruikers!$A:$A,$B17,Verbruikers!L:L)</f>
        <v>8</v>
      </c>
      <c r="H17" s="15">
        <f>SUMIF(Verbruikers!$A:$A,$B17,Verbruikers!M:M)</f>
        <v>11</v>
      </c>
      <c r="I17" t="s">
        <v>6</v>
      </c>
    </row>
    <row r="18" spans="1:9" x14ac:dyDescent="0.2">
      <c r="A18" s="3">
        <v>3</v>
      </c>
      <c r="B18" s="3">
        <v>17</v>
      </c>
      <c r="C18" s="8">
        <f>SUMIF(Verbruikers!A:A,B18,Verbruikers!H:H)/1000</f>
        <v>0.24</v>
      </c>
      <c r="D18" s="8">
        <f>SUMIF(Verbruikers!$A:$A,$B18,Verbruikers!I:I)/1000</f>
        <v>0</v>
      </c>
      <c r="E18" s="8">
        <f>C18+D18</f>
        <v>0.24</v>
      </c>
      <c r="F18" s="15">
        <f>COUNTIF(Verbruikers!A:A,B18)</f>
        <v>1</v>
      </c>
      <c r="G18" s="15">
        <f>SUMIF(Verbruikers!$A:$A,$B18,Verbruikers!L:L)</f>
        <v>0</v>
      </c>
      <c r="H18" s="15">
        <f>SUMIF(Verbruikers!$A:$A,$B18,Verbruikers!M:M)</f>
        <v>0</v>
      </c>
      <c r="I18" t="s">
        <v>20</v>
      </c>
    </row>
    <row r="19" spans="1:9" x14ac:dyDescent="0.2">
      <c r="A19" s="3">
        <v>1</v>
      </c>
      <c r="B19" s="3">
        <v>13</v>
      </c>
      <c r="C19" s="8">
        <f>SUMIF(Verbruikers!A:A,B19,Verbruikers!H:H)/1000</f>
        <v>0.20859166666666665</v>
      </c>
      <c r="D19" s="8">
        <f>SUMIF(Verbruikers!$A:$A,$B19,Verbruikers!I:I)/1000</f>
        <v>2.7566666666666663E-2</v>
      </c>
      <c r="E19" s="8">
        <f>C19+D19</f>
        <v>0.2361583333333333</v>
      </c>
      <c r="F19" s="15">
        <f>COUNTIF(Verbruikers!A:A,B19)</f>
        <v>12</v>
      </c>
      <c r="G19" s="15">
        <f>SUMIF(Verbruikers!$A:$A,$B19,Verbruikers!L:L)</f>
        <v>0</v>
      </c>
      <c r="H19" s="15">
        <f>SUMIF(Verbruikers!$A:$A,$B19,Verbruikers!M:M)</f>
        <v>4</v>
      </c>
      <c r="I19" t="s">
        <v>19</v>
      </c>
    </row>
    <row r="20" spans="1:9" x14ac:dyDescent="0.2">
      <c r="A20" s="3">
        <v>2</v>
      </c>
      <c r="B20" s="3">
        <v>12</v>
      </c>
      <c r="C20" s="8">
        <f>SUMIF(Verbruikers!A:A,B20,Verbruikers!H:H)/1000</f>
        <v>0.14377083333333335</v>
      </c>
      <c r="D20" s="8">
        <f>SUMIF(Verbruikers!$A:$A,$B20,Verbruikers!I:I)/1000</f>
        <v>7.3333333333333334E-2</v>
      </c>
      <c r="E20" s="8">
        <f>C20+D20</f>
        <v>0.21710416666666668</v>
      </c>
      <c r="F20" s="15">
        <f>COUNTIF(Verbruikers!A:A,B20)</f>
        <v>12</v>
      </c>
      <c r="G20" s="15">
        <f>SUMIF(Verbruikers!$A:$A,$B20,Verbruikers!L:L)</f>
        <v>0</v>
      </c>
      <c r="H20" s="15">
        <f>SUMIF(Verbruikers!$A:$A,$B20,Verbruikers!M:M)</f>
        <v>0</v>
      </c>
      <c r="I20" t="s">
        <v>12</v>
      </c>
    </row>
    <row r="21" spans="1:9" x14ac:dyDescent="0.2">
      <c r="A21" s="3">
        <v>3</v>
      </c>
      <c r="B21" s="3">
        <v>4</v>
      </c>
      <c r="C21" s="8">
        <f>SUMIF(Verbruikers!A:A,B21,Verbruikers!H:H)/1000</f>
        <v>0</v>
      </c>
      <c r="D21" s="8">
        <f>SUMIF(Verbruikers!$A:$A,$B21,Verbruikers!I:I)/1000</f>
        <v>0.12</v>
      </c>
      <c r="E21" s="8">
        <f>C21+D21</f>
        <v>0.12</v>
      </c>
      <c r="F21" s="15">
        <f>COUNTIF(Verbruikers!A:A,B21)</f>
        <v>1</v>
      </c>
      <c r="G21" s="15">
        <f>SUMIF(Verbruikers!$A:$A,$B21,Verbruikers!L:L)</f>
        <v>0</v>
      </c>
      <c r="H21" s="15">
        <f>SUMIF(Verbruikers!$A:$A,$B21,Verbruikers!M:M)</f>
        <v>0</v>
      </c>
      <c r="I21" t="s">
        <v>7</v>
      </c>
    </row>
    <row r="22" spans="1:9" x14ac:dyDescent="0.2">
      <c r="A22" s="3">
        <v>1</v>
      </c>
      <c r="B22" s="3">
        <v>18</v>
      </c>
      <c r="C22" s="8">
        <f>SUMIF(Verbruikers!A:A,B22,Verbruikers!H:H)/1000</f>
        <v>9.1199999999999989E-2</v>
      </c>
      <c r="D22" s="8">
        <f>SUMIF(Verbruikers!$A:$A,$B22,Verbruikers!I:I)/1000</f>
        <v>0</v>
      </c>
      <c r="E22" s="8">
        <f>C22+D22</f>
        <v>9.1199999999999989E-2</v>
      </c>
      <c r="F22" s="15">
        <f>COUNTIF(Verbruikers!A:A,B22)</f>
        <v>2</v>
      </c>
      <c r="G22" s="15">
        <f>SUMIF(Verbruikers!$A:$A,$B22,Verbruikers!L:L)</f>
        <v>0</v>
      </c>
      <c r="H22" s="15">
        <f>SUMIF(Verbruikers!$A:$A,$B22,Verbruikers!M:M)</f>
        <v>2</v>
      </c>
      <c r="I22" t="s">
        <v>16</v>
      </c>
    </row>
    <row r="23" spans="1:9" x14ac:dyDescent="0.2">
      <c r="A23" s="3">
        <v>2</v>
      </c>
      <c r="B23" s="3">
        <v>10</v>
      </c>
      <c r="C23" s="8">
        <f>SUMIF(Verbruikers!A:A,B23,Verbruikers!H:H)/1000</f>
        <v>8.3849999999999994E-2</v>
      </c>
      <c r="D23" s="8">
        <f>SUMIF(Verbruikers!$A:$A,$B23,Verbruikers!I:I)/1000</f>
        <v>2.3500000000000002E-4</v>
      </c>
      <c r="E23" s="8">
        <f>C23+D23</f>
        <v>8.4084999999999993E-2</v>
      </c>
      <c r="F23" s="15">
        <f>COUNTIF(Verbruikers!A:A,B23)</f>
        <v>3</v>
      </c>
      <c r="G23" s="15">
        <f>SUMIF(Verbruikers!$A:$A,$B23,Verbruikers!L:L)</f>
        <v>4</v>
      </c>
      <c r="H23" s="15">
        <f>SUMIF(Verbruikers!$A:$A,$B23,Verbruikers!M:M)</f>
        <v>4</v>
      </c>
      <c r="I23" t="s">
        <v>35</v>
      </c>
    </row>
    <row r="24" spans="1:9" x14ac:dyDescent="0.2">
      <c r="A24" s="3">
        <v>3</v>
      </c>
      <c r="B24" s="3">
        <v>2</v>
      </c>
      <c r="C24" s="8">
        <f>SUMIF(Verbruikers!A:A,B24,Verbruikers!H:H)/1000</f>
        <v>1.1949999999999999E-2</v>
      </c>
      <c r="D24" s="8">
        <f>SUMIF(Verbruikers!$A:$A,$B24,Verbruikers!I:I)/1000</f>
        <v>0.06</v>
      </c>
      <c r="E24" s="8">
        <f>C24+D24</f>
        <v>7.195E-2</v>
      </c>
      <c r="F24" s="15">
        <f>COUNTIF(Verbruikers!A:A,B24)</f>
        <v>1</v>
      </c>
      <c r="G24" s="15">
        <f>SUMIF(Verbruikers!$A:$A,$B24,Verbruikers!L:L)</f>
        <v>0</v>
      </c>
      <c r="H24" s="15">
        <f>SUMIF(Verbruikers!$A:$A,$B24,Verbruikers!M:M)</f>
        <v>1</v>
      </c>
      <c r="I24" t="s">
        <v>5</v>
      </c>
    </row>
    <row r="25" spans="1:9" x14ac:dyDescent="0.2">
      <c r="A25" s="3">
        <v>3</v>
      </c>
      <c r="B25" s="18">
        <v>19</v>
      </c>
      <c r="C25" s="8">
        <f>SUMIF(Verbruikers!A:A,B25,Verbruikers!H:H)/1000</f>
        <v>2.4E-2</v>
      </c>
      <c r="D25" s="8">
        <f>SUMIF(Verbruikers!$A:$A,$B25,Verbruikers!I:I)/1000</f>
        <v>5.0000000000000001E-3</v>
      </c>
      <c r="E25" s="8">
        <f>C25+D25</f>
        <v>2.9000000000000001E-2</v>
      </c>
      <c r="F25" s="15">
        <f>COUNTIF(Verbruikers!A:A,B25)</f>
        <v>2</v>
      </c>
      <c r="G25" s="15">
        <f>SUMIF(Verbruikers!$A:$A,$B25,Verbruikers!L:L)</f>
        <v>0</v>
      </c>
      <c r="H25" s="15">
        <f>SUMIF(Verbruikers!$A:$A,$B25,Verbruikers!M:M)</f>
        <v>0</v>
      </c>
      <c r="I25" t="s">
        <v>125</v>
      </c>
    </row>
    <row r="27" spans="1:9" x14ac:dyDescent="0.2">
      <c r="B27" s="3" t="s">
        <v>345</v>
      </c>
      <c r="C27" s="9">
        <f>SUM(C2:C25)</f>
        <v>14.29300238861709</v>
      </c>
      <c r="D27" s="9">
        <f>SUM(D2:D25)</f>
        <v>11.696420863774737</v>
      </c>
      <c r="E27" s="9"/>
      <c r="F27" s="15">
        <f>SUM(F2:F25)</f>
        <v>210</v>
      </c>
      <c r="G27" s="15">
        <f>SUM(G2:G25)</f>
        <v>157</v>
      </c>
      <c r="H27" s="15">
        <f>SUM(H2:H25)</f>
        <v>146</v>
      </c>
    </row>
    <row r="28" spans="1:9" x14ac:dyDescent="0.2">
      <c r="B28" s="3" t="s">
        <v>346</v>
      </c>
      <c r="C28" s="4">
        <f>C27/24*1000</f>
        <v>595.54176619237876</v>
      </c>
      <c r="D28" s="4">
        <f>D27/24*1000</f>
        <v>487.35086932394739</v>
      </c>
      <c r="E28" s="4"/>
      <c r="F28" s="4"/>
      <c r="G28" s="4"/>
      <c r="H28" s="4"/>
    </row>
    <row r="29" spans="1:9" ht="17" thickBot="1" x14ac:dyDescent="0.25"/>
    <row r="30" spans="1:9" x14ac:dyDescent="0.2">
      <c r="B30" s="29" t="s">
        <v>363</v>
      </c>
      <c r="C30" s="20">
        <f>365*C27</f>
        <v>5216.9458718452379</v>
      </c>
      <c r="D30" s="30" t="s">
        <v>21</v>
      </c>
      <c r="E30" s="3"/>
      <c r="F30" s="17" t="s">
        <v>371</v>
      </c>
      <c r="G30" s="17"/>
      <c r="H30" s="3"/>
    </row>
    <row r="31" spans="1:9" x14ac:dyDescent="0.2">
      <c r="B31" s="31" t="s">
        <v>364</v>
      </c>
      <c r="C31">
        <f>365*D27</f>
        <v>4269.1936152777789</v>
      </c>
      <c r="D31" s="32" t="s">
        <v>21</v>
      </c>
      <c r="E31" s="3"/>
      <c r="F31" s="13" t="s">
        <v>367</v>
      </c>
      <c r="H31" s="3"/>
    </row>
    <row r="32" spans="1:9" x14ac:dyDescent="0.2">
      <c r="B32" s="31" t="s">
        <v>366</v>
      </c>
      <c r="C32" s="12">
        <v>600</v>
      </c>
      <c r="D32" s="32" t="s">
        <v>21</v>
      </c>
      <c r="E32" s="3"/>
      <c r="F32" s="3"/>
      <c r="G32" s="3"/>
      <c r="H32" s="3"/>
    </row>
    <row r="33" spans="2:4" ht="17" thickBot="1" x14ac:dyDescent="0.25">
      <c r="B33" s="33" t="s">
        <v>365</v>
      </c>
      <c r="C33" s="27">
        <f>SUM(C30:C32)</f>
        <v>10086.139487123017</v>
      </c>
      <c r="D33" s="28"/>
    </row>
  </sheetData>
  <autoFilter ref="A1:I25" xr:uid="{B2333925-6C80-D143-96F5-4C27BA215E7E}">
    <sortState xmlns:xlrd2="http://schemas.microsoft.com/office/spreadsheetml/2017/richdata2" ref="A2:I25">
      <sortCondition descending="1" ref="E1:E25"/>
    </sortState>
  </autoFilter>
  <sortState xmlns:xlrd2="http://schemas.microsoft.com/office/spreadsheetml/2017/richdata2" ref="A2:I25">
    <sortCondition ref="C2:C25"/>
  </sortState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Verbruikers</vt:lpstr>
      <vt:lpstr>Groepen</vt:lpstr>
      <vt:lpstr>DS</vt:lpstr>
      <vt:lpstr>L_watt</vt:lpstr>
      <vt:lpstr>N</vt:lpstr>
      <vt:lpstr>NT</vt:lpstr>
      <vt:lpstr>S_watt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van der Stoel</dc:creator>
  <cp:lastModifiedBy>Johan van der Stoel</cp:lastModifiedBy>
  <cp:lastPrinted>2025-09-06T08:04:24Z</cp:lastPrinted>
  <dcterms:created xsi:type="dcterms:W3CDTF">2025-02-28T17:21:38Z</dcterms:created>
  <dcterms:modified xsi:type="dcterms:W3CDTF">2025-09-06T10:31:51Z</dcterms:modified>
</cp:coreProperties>
</file>